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5-26/"/>
    </mc:Choice>
  </mc:AlternateContent>
  <xr:revisionPtr revIDLastSave="16" documentId="8_{E1165FD1-68A0-4E9F-BBED-2305D08C685F}" xr6:coauthVersionLast="47" xr6:coauthVersionMax="47" xr10:uidLastSave="{3D02BFED-2750-4B30-BD68-97A9D424CF81}"/>
  <bookViews>
    <workbookView xWindow="-120" yWindow="-120" windowWidth="26640" windowHeight="14370" xr2:uid="{90B392CA-34F5-4D2E-BFBF-6ED576880F90}"/>
  </bookViews>
  <sheets>
    <sheet name="Monthly monitoring &amp; reconcilia" sheetId="1" r:id="rId1"/>
    <sheet name="Reserves" sheetId="3" r:id="rId2"/>
    <sheet name="Sheet1" sheetId="5" r:id="rId3"/>
    <sheet name="RESERVES RECONCILIATION" sheetId="4" r:id="rId4"/>
    <sheet name="VAT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E47" i="1"/>
  <c r="E22" i="3"/>
  <c r="D47" i="1"/>
  <c r="F45" i="1"/>
  <c r="F22" i="1"/>
  <c r="F54" i="1"/>
  <c r="F30" i="1"/>
  <c r="D22" i="3"/>
  <c r="E54" i="1"/>
  <c r="D28" i="3"/>
  <c r="D54" i="1"/>
  <c r="D16" i="2"/>
  <c r="D22" i="1"/>
  <c r="D13" i="1"/>
  <c r="D30" i="1" l="1"/>
  <c r="B22" i="3"/>
  <c r="B28" i="3"/>
  <c r="C10" i="3"/>
  <c r="C30" i="1"/>
  <c r="C43" i="1"/>
  <c r="C78" i="1"/>
  <c r="C77" i="1"/>
  <c r="C54" i="1"/>
  <c r="C33" i="1"/>
  <c r="C22" i="1"/>
  <c r="C29" i="1"/>
  <c r="C36" i="1"/>
  <c r="C47" i="1"/>
  <c r="C21" i="1"/>
  <c r="C17" i="1"/>
  <c r="C13" i="1"/>
  <c r="O20" i="1"/>
  <c r="O19" i="1"/>
  <c r="O18" i="1"/>
  <c r="B20" i="1"/>
  <c r="D86" i="2"/>
  <c r="D66" i="1" l="1"/>
  <c r="E66" i="1"/>
  <c r="F66" i="1"/>
  <c r="G66" i="1"/>
  <c r="H66" i="1"/>
  <c r="I66" i="1"/>
  <c r="J66" i="1"/>
  <c r="K66" i="1"/>
  <c r="L66" i="1"/>
  <c r="M66" i="1"/>
  <c r="N66" i="1"/>
  <c r="H86" i="2"/>
  <c r="D69" i="2"/>
  <c r="O32" i="1"/>
  <c r="P32" i="1" s="1"/>
  <c r="H69" i="2" l="1"/>
  <c r="O46" i="1" l="1"/>
  <c r="P46" i="1" s="1"/>
  <c r="O22" i="3"/>
  <c r="O12" i="1"/>
  <c r="P12" i="1" s="1"/>
  <c r="D50" i="2"/>
  <c r="H50" i="2" l="1"/>
  <c r="D41" i="2"/>
  <c r="D29" i="2"/>
  <c r="O24" i="1"/>
  <c r="P24" i="1" s="1"/>
  <c r="H41" i="2" l="1"/>
  <c r="H29" i="2" l="1"/>
  <c r="O28" i="3"/>
  <c r="N26" i="3"/>
  <c r="N30" i="3" s="1"/>
  <c r="M26" i="3"/>
  <c r="M30" i="3" s="1"/>
  <c r="L26" i="3"/>
  <c r="L30" i="3" s="1"/>
  <c r="K26" i="3"/>
  <c r="K30" i="3" s="1"/>
  <c r="J26" i="3"/>
  <c r="J30" i="3" s="1"/>
  <c r="I26" i="3"/>
  <c r="I30" i="3" s="1"/>
  <c r="H26" i="3"/>
  <c r="H30" i="3" s="1"/>
  <c r="G26" i="3"/>
  <c r="G30" i="3" s="1"/>
  <c r="F26" i="3"/>
  <c r="F30" i="3" s="1"/>
  <c r="E26" i="3"/>
  <c r="E30" i="3" s="1"/>
  <c r="B26" i="3"/>
  <c r="B30" i="3" s="1"/>
  <c r="O24" i="3"/>
  <c r="O20" i="3"/>
  <c r="O18" i="3"/>
  <c r="O16" i="3"/>
  <c r="O14" i="3"/>
  <c r="O12" i="3"/>
  <c r="C26" i="3"/>
  <c r="C30" i="3" s="1"/>
  <c r="O43" i="1"/>
  <c r="P43" i="1" s="1"/>
  <c r="D22" i="2"/>
  <c r="O44" i="1"/>
  <c r="P44" i="1" s="1"/>
  <c r="O39" i="1"/>
  <c r="P39" i="1" s="1"/>
  <c r="D9" i="2"/>
  <c r="H9" i="2" s="1"/>
  <c r="O40" i="1"/>
  <c r="O41" i="1"/>
  <c r="P41" i="1" s="1"/>
  <c r="O42" i="1"/>
  <c r="O9" i="1"/>
  <c r="O10" i="1"/>
  <c r="C66" i="1"/>
  <c r="O11" i="1"/>
  <c r="P11" i="1" s="1"/>
  <c r="O17" i="1" l="1"/>
  <c r="O10" i="3"/>
  <c r="H22" i="2"/>
  <c r="H16" i="2"/>
  <c r="D26" i="3"/>
  <c r="D30" i="3" s="1"/>
  <c r="O45" i="1"/>
  <c r="P45" i="1" s="1"/>
  <c r="D78" i="2"/>
  <c r="D63" i="2"/>
  <c r="D56" i="2"/>
  <c r="D35" i="2"/>
  <c r="H78" i="2" l="1"/>
  <c r="O26" i="3"/>
  <c r="O30" i="3" s="1"/>
  <c r="H63" i="2"/>
  <c r="H35" i="2"/>
  <c r="H56" i="2"/>
  <c r="D89" i="2"/>
  <c r="K69" i="2" l="1"/>
  <c r="K63" i="2"/>
  <c r="C56" i="1"/>
  <c r="C72" i="1" s="1"/>
  <c r="O79" i="1"/>
  <c r="N79" i="1"/>
  <c r="M79" i="1"/>
  <c r="L79" i="1"/>
  <c r="K79" i="1"/>
  <c r="J79" i="1"/>
  <c r="I79" i="1"/>
  <c r="H79" i="1"/>
  <c r="G79" i="1"/>
  <c r="F79" i="1"/>
  <c r="C79" i="1"/>
  <c r="E79" i="1"/>
  <c r="D79" i="1"/>
  <c r="B79" i="1"/>
  <c r="C69" i="1" s="1"/>
  <c r="N73" i="1"/>
  <c r="M73" i="1"/>
  <c r="L73" i="1"/>
  <c r="K73" i="1"/>
  <c r="J73" i="1"/>
  <c r="I73" i="1"/>
  <c r="H73" i="1"/>
  <c r="G73" i="1"/>
  <c r="F73" i="1"/>
  <c r="E73" i="1"/>
  <c r="D73" i="1"/>
  <c r="P66" i="1"/>
  <c r="B66" i="1"/>
  <c r="O63" i="1"/>
  <c r="O62" i="1"/>
  <c r="M56" i="1"/>
  <c r="M72" i="1" s="1"/>
  <c r="L56" i="1"/>
  <c r="L72" i="1" s="1"/>
  <c r="K56" i="1"/>
  <c r="K72" i="1" s="1"/>
  <c r="H56" i="1"/>
  <c r="H72" i="1" s="1"/>
  <c r="G56" i="1"/>
  <c r="G72" i="1" s="1"/>
  <c r="B56" i="1"/>
  <c r="O55" i="1"/>
  <c r="N56" i="1"/>
  <c r="N72" i="1" s="1"/>
  <c r="J56" i="1"/>
  <c r="J72" i="1" s="1"/>
  <c r="I56" i="1"/>
  <c r="I72" i="1" s="1"/>
  <c r="F56" i="1"/>
  <c r="F72" i="1" s="1"/>
  <c r="E56" i="1"/>
  <c r="E72" i="1" s="1"/>
  <c r="D56" i="1"/>
  <c r="D72" i="1" s="1"/>
  <c r="B48" i="1"/>
  <c r="O47" i="1"/>
  <c r="P47" i="1" s="1"/>
  <c r="P42" i="1"/>
  <c r="P40" i="1"/>
  <c r="O38" i="1"/>
  <c r="P38" i="1" s="1"/>
  <c r="O37" i="1"/>
  <c r="P37" i="1" s="1"/>
  <c r="O36" i="1"/>
  <c r="P36" i="1" s="1"/>
  <c r="O35" i="1"/>
  <c r="P35" i="1" s="1"/>
  <c r="O34" i="1"/>
  <c r="P34" i="1" s="1"/>
  <c r="O33" i="1"/>
  <c r="P33" i="1" s="1"/>
  <c r="O31" i="1"/>
  <c r="P31" i="1" s="1"/>
  <c r="O30" i="1"/>
  <c r="P30" i="1" s="1"/>
  <c r="O29" i="1"/>
  <c r="P29" i="1" s="1"/>
  <c r="O28" i="1"/>
  <c r="P28" i="1" s="1"/>
  <c r="P27" i="1"/>
  <c r="O26" i="1"/>
  <c r="P26" i="1" s="1"/>
  <c r="O25" i="1"/>
  <c r="P25" i="1" s="1"/>
  <c r="O23" i="1"/>
  <c r="P23" i="1" s="1"/>
  <c r="L48" i="1"/>
  <c r="L71" i="1" s="1"/>
  <c r="K48" i="1"/>
  <c r="K71" i="1" s="1"/>
  <c r="H48" i="1"/>
  <c r="H71" i="1" s="1"/>
  <c r="F48" i="1"/>
  <c r="F71" i="1" s="1"/>
  <c r="E48" i="1"/>
  <c r="E71" i="1" s="1"/>
  <c r="D48" i="1"/>
  <c r="D71" i="1" s="1"/>
  <c r="O22" i="1"/>
  <c r="P22" i="1" s="1"/>
  <c r="I48" i="1"/>
  <c r="I71" i="1" s="1"/>
  <c r="O21" i="1"/>
  <c r="P21" i="1" s="1"/>
  <c r="N48" i="1"/>
  <c r="N71" i="1" s="1"/>
  <c r="M48" i="1"/>
  <c r="M71" i="1" s="1"/>
  <c r="J48" i="1"/>
  <c r="J71" i="1" s="1"/>
  <c r="G48" i="1"/>
  <c r="G71" i="1" s="1"/>
  <c r="C48" i="1"/>
  <c r="C71" i="1" s="1"/>
  <c r="M14" i="1"/>
  <c r="M70" i="1" s="1"/>
  <c r="J14" i="1"/>
  <c r="J70" i="1" s="1"/>
  <c r="I14" i="1"/>
  <c r="I70" i="1" s="1"/>
  <c r="F14" i="1"/>
  <c r="F70" i="1" s="1"/>
  <c r="E14" i="1"/>
  <c r="E70" i="1" s="1"/>
  <c r="D14" i="1"/>
  <c r="D70" i="1" s="1"/>
  <c r="B14" i="1"/>
  <c r="O13" i="1"/>
  <c r="P13" i="1" s="1"/>
  <c r="P10" i="1"/>
  <c r="K14" i="1"/>
  <c r="K70" i="1" s="1"/>
  <c r="P9" i="1"/>
  <c r="L14" i="1"/>
  <c r="L70" i="1" s="1"/>
  <c r="G14" i="1"/>
  <c r="G70" i="1" s="1"/>
  <c r="O8" i="1"/>
  <c r="P8" i="1" s="1"/>
  <c r="H14" i="1"/>
  <c r="H70" i="1" s="1"/>
  <c r="C14" i="1"/>
  <c r="C70" i="1" s="1"/>
  <c r="Q63" i="1" l="1"/>
  <c r="O66" i="1"/>
  <c r="B72" i="1"/>
  <c r="P14" i="1"/>
  <c r="N14" i="1"/>
  <c r="N70" i="1" s="1"/>
  <c r="O54" i="1"/>
  <c r="O14" i="1"/>
  <c r="C73" i="1"/>
  <c r="C74" i="1" s="1"/>
  <c r="O56" i="1" l="1"/>
  <c r="B71" i="1"/>
  <c r="C81" i="1"/>
  <c r="D69" i="1"/>
  <c r="D74" i="1" s="1"/>
  <c r="O48" i="1"/>
  <c r="P17" i="1"/>
  <c r="P48" i="1" l="1"/>
  <c r="Q79" i="1"/>
  <c r="P56" i="1"/>
  <c r="O81" i="1"/>
  <c r="E69" i="1"/>
  <c r="E74" i="1" s="1"/>
  <c r="D81" i="1"/>
  <c r="H44" i="3" l="1"/>
  <c r="F69" i="1"/>
  <c r="F74" i="1" s="1"/>
  <c r="E81" i="1"/>
  <c r="G69" i="1" l="1"/>
  <c r="G74" i="1" s="1"/>
  <c r="F81" i="1"/>
  <c r="G81" i="1" l="1"/>
  <c r="H69" i="1"/>
  <c r="H74" i="1" s="1"/>
  <c r="H81" i="1" l="1"/>
  <c r="I69" i="1"/>
  <c r="I74" i="1" s="1"/>
  <c r="J69" i="1" l="1"/>
  <c r="J74" i="1" s="1"/>
  <c r="I81" i="1"/>
  <c r="K69" i="1" l="1"/>
  <c r="K74" i="1" s="1"/>
  <c r="J81" i="1"/>
  <c r="K81" i="1" l="1"/>
  <c r="L69" i="1"/>
  <c r="L74" i="1" s="1"/>
  <c r="L81" i="1" l="1"/>
  <c r="M69" i="1"/>
  <c r="M74" i="1" s="1"/>
  <c r="N69" i="1" l="1"/>
  <c r="M81" i="1"/>
  <c r="N74" i="1" l="1"/>
  <c r="N8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tc={B2348655-CAE2-49A1-81D6-C4B0C804BD29}</author>
    <author>tc={52E18EF6-09E4-4972-821D-266964788778}</author>
    <author>tc={5399AD24-5375-470D-9D60-C2B9CB464BA6}</author>
    <author>tc={EF882114-D928-4082-9F18-A7AB5E66FA18}</author>
    <author>tc={41298489-E555-4FB3-A798-DCDD936A7D30}</author>
  </authors>
  <commentList>
    <comment ref="H10" authorId="0" shapeId="0" xr:uid="{B2348655-CAE2-49A1-81D6-C4B0C804BD29}">
      <text>
        <t>[Threaded comment]
Your version of Excel allows you to read this threaded comment; however, any edits to it will get removed if the file is opened in a newer version of Excel. Learn more: https://go.microsoft.com/fwlink/?linkid=870924
Comment:
    Backdated payment from UKPN re wayleave agmt - Broom Hill</t>
      </text>
    </comment>
    <comment ref="F22" authorId="1" shapeId="0" xr:uid="{52E18EF6-09E4-4972-821D-26696478877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PC Hard Drive</t>
      </text>
    </comment>
    <comment ref="Q24" authorId="2" shapeId="0" xr:uid="{5399AD24-5375-470D-9D60-C2B9CB464BA6}">
      <text>
        <t>[Threaded comment]
Your version of Excel allows you to read this threaded comment; however, any edits to it will get removed if the file is opened in a newer version of Excel. Learn more: https://go.microsoft.com/fwlink/?linkid=870924
Comment:
    Move to Localities Grant</t>
      </text>
    </comment>
    <comment ref="Q47" authorId="3" shapeId="0" xr:uid="{EF882114-D928-4082-9F18-A7AB5E66FA18}">
      <text>
        <t>[Threaded comment]
Your version of Excel allows you to read this threaded comment; however, any edits to it will get removed if the file is opened in a newer version of Excel. Learn more: https://go.microsoft.com/fwlink/?linkid=870924
Comment:
    Add UTB costs for benches</t>
      </text>
    </comment>
    <comment ref="G81" authorId="4" shapeId="0" xr:uid="{41298489-E555-4FB3-A798-DCDD936A7D30}">
      <text>
        <t>[Threaded comment]
Your version of Excel allows you to read this threaded comment; however, any edits to it will get removed if the file is opened in a newer version of Excel. Learn more: https://go.microsoft.com/fwlink/?linkid=870924
Comment:
    Will disappear once statement (incl £6 bank charge) appeasr.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Maggie Burt</author>
  </authors>
  <commentList>
    <comment ref="B18" authorId="0" shapeId="0" xr:uid="{A8724F26-9ADD-404B-B128-D06FD59ACE56}">
      <text>
        <r>
          <rPr>
            <b/>
            <sz val="9"/>
            <color indexed="81"/>
            <rFont val="Tahoma"/>
            <charset val="1"/>
          </rPr>
          <t>Maggie Burt:</t>
        </r>
        <r>
          <rPr>
            <sz val="9"/>
            <color indexed="81"/>
            <rFont val="Tahoma"/>
            <charset val="1"/>
          </rPr>
          <t xml:space="preserve">
Transferred to General Reserve</t>
        </r>
      </text>
    </comment>
    <comment ref="D28" authorId="0" shapeId="0" xr:uid="{B55FD089-5332-4CAC-A4F6-A7AF226466FE}">
      <text>
        <r>
          <rPr>
            <b/>
            <sz val="9"/>
            <color indexed="81"/>
            <rFont val="Tahoma"/>
            <charset val="1"/>
          </rPr>
          <t>Maggie Burt:</t>
        </r>
        <r>
          <rPr>
            <sz val="9"/>
            <color indexed="81"/>
            <rFont val="Tahoma"/>
            <charset val="1"/>
          </rPr>
          <t xml:space="preserve">
Includes Street Lghting Reserve and YE profit</t>
        </r>
      </text>
    </comment>
  </commentList>
</comments>
</file>

<file path=xl/sharedStrings.xml><?xml version="1.0" encoding="utf-8"?>
<sst xmlns="http://schemas.openxmlformats.org/spreadsheetml/2006/main" count="190" uniqueCount="148">
  <si>
    <t>Budget</t>
  </si>
  <si>
    <t>Variance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</si>
  <si>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</si>
  <si>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</si>
  <si>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</si>
  <si>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</si>
  <si>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</si>
  <si>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</si>
  <si>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</si>
  <si>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</si>
  <si>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</si>
  <si>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Jan</t>
  </si>
  <si>
    <t>Feb</t>
  </si>
  <si>
    <t>March</t>
  </si>
  <si>
    <t>to Budget</t>
  </si>
  <si>
    <t>INCOME</t>
  </si>
  <si>
    <t>Precept</t>
  </si>
  <si>
    <t>Interest</t>
  </si>
  <si>
    <t>Other income</t>
  </si>
  <si>
    <t>Allotment Rents</t>
  </si>
  <si>
    <t>TOTAL INCOME</t>
  </si>
  <si>
    <t>EXPENDITURE</t>
  </si>
  <si>
    <t>Insurance</t>
  </si>
  <si>
    <t>Subscriptions</t>
  </si>
  <si>
    <t>TOTAL EXPENDITURE</t>
  </si>
  <si>
    <t xml:space="preserve">VAT </t>
  </si>
  <si>
    <t>VAT on Expenditure</t>
  </si>
  <si>
    <t>VAT received (recovered from HMRC)</t>
  </si>
  <si>
    <t>Net VAT in month</t>
  </si>
  <si>
    <t>COMMUNITY INFRASTRUCTURE LEVY</t>
  </si>
  <si>
    <t>CIL Receipts</t>
  </si>
  <si>
    <t>CIL Expenditure</t>
  </si>
  <si>
    <t>Transfers to CIL Reserve</t>
  </si>
  <si>
    <t>Transfers from CIL Reserve</t>
  </si>
  <si>
    <t>CASHFLOW &amp; BANK RECONCILIATION</t>
  </si>
  <si>
    <t>Opening bank balance</t>
  </si>
  <si>
    <t>Income</t>
  </si>
  <si>
    <t>Expenditure</t>
  </si>
  <si>
    <t>Net VAT (outgoing)/received</t>
  </si>
  <si>
    <t>CIL Receipts - Expenditure</t>
  </si>
  <si>
    <t>Calculated Closing bank balance</t>
  </si>
  <si>
    <t>Closing bank statements</t>
  </si>
  <si>
    <t>Community Bank Account</t>
  </si>
  <si>
    <t>CIL Parish Reserve (BP A/C 1)</t>
  </si>
  <si>
    <t>MONTHLY RECONCILIATION DIFFERENCE</t>
  </si>
  <si>
    <t>CODDENHAM PARISH COUNCIL</t>
  </si>
  <si>
    <t>FINANCIAL MONITORING REPORT 2024/25</t>
  </si>
  <si>
    <t>Audit fees</t>
  </si>
  <si>
    <t>Clerk's training</t>
  </si>
  <si>
    <t>Postage, telecoms, consumables</t>
  </si>
  <si>
    <t>Software licences</t>
  </si>
  <si>
    <t>s137 payments</t>
  </si>
  <si>
    <t>Bank charges</t>
  </si>
  <si>
    <t>Web fees</t>
  </si>
  <si>
    <t>Data protection</t>
  </si>
  <si>
    <t>Grounds maintenance</t>
  </si>
  <si>
    <t>Waste management</t>
  </si>
  <si>
    <t>Tree surgery</t>
  </si>
  <si>
    <t>Info box</t>
  </si>
  <si>
    <t>CIO/TCC contingency</t>
  </si>
  <si>
    <t>Hall rental</t>
  </si>
  <si>
    <t>Public Works Loan Board</t>
  </si>
  <si>
    <t>CIO/TCC Recreation Ground</t>
  </si>
  <si>
    <t>Difference?</t>
  </si>
  <si>
    <t>agreed to Monitoring Report</t>
  </si>
  <si>
    <t>Cumulative VAT to reclaim</t>
  </si>
  <si>
    <t>Allotment Expenditure</t>
  </si>
  <si>
    <t>MSDC Localities Grant</t>
  </si>
  <si>
    <t>MSDC Localities Grant expenditure</t>
  </si>
  <si>
    <t>STILL TO BE ALLOCATED (s/be ZERO)</t>
  </si>
  <si>
    <t>Street lighting running costs</t>
  </si>
  <si>
    <t xml:space="preserve">Opening </t>
  </si>
  <si>
    <t>Closing</t>
  </si>
  <si>
    <t>Apr</t>
  </si>
  <si>
    <t>Aug</t>
  </si>
  <si>
    <t>Mar</t>
  </si>
  <si>
    <t>Balance</t>
  </si>
  <si>
    <t>EARMARKED RESERVES</t>
  </si>
  <si>
    <t>Allotments</t>
  </si>
  <si>
    <t>Election Costs</t>
  </si>
  <si>
    <t>Green Spaces</t>
  </si>
  <si>
    <t>PWLB Loan</t>
  </si>
  <si>
    <t>Street Lighting</t>
  </si>
  <si>
    <t>Training (new Cllrs)</t>
  </si>
  <si>
    <t>CIL</t>
  </si>
  <si>
    <t>TOTAL- EARMARKED</t>
  </si>
  <si>
    <t>GENERAL RESERVE</t>
  </si>
  <si>
    <t>TOTAL RESERVES</t>
  </si>
  <si>
    <t>as per</t>
  </si>
  <si>
    <t>AGAR</t>
  </si>
  <si>
    <t>Gardemau Trust Grant</t>
  </si>
  <si>
    <t>MSDC Grant (leaflets)</t>
  </si>
  <si>
    <t>Actual</t>
  </si>
  <si>
    <t>External Printing/Newsletters</t>
  </si>
  <si>
    <t>FINANCIAL MONITORING REPORT 2025/26</t>
  </si>
  <si>
    <t xml:space="preserve"> 25/26</t>
  </si>
  <si>
    <t xml:space="preserve"> YTD 25/26</t>
  </si>
  <si>
    <t>at 1/4/25</t>
  </si>
  <si>
    <t>at 30/4/25</t>
  </si>
  <si>
    <t>at 31/5/25</t>
  </si>
  <si>
    <t>at 31/7/25</t>
  </si>
  <si>
    <t>at 30/6/25</t>
  </si>
  <si>
    <t>at 31/8/25</t>
  </si>
  <si>
    <t>at 30/9/25</t>
  </si>
  <si>
    <t>at 31/10/25</t>
  </si>
  <si>
    <t>at 30/11/25</t>
  </si>
  <si>
    <t>at 31/12/25</t>
  </si>
  <si>
    <t>at 31/1/26</t>
  </si>
  <si>
    <t>at 28/2/26</t>
  </si>
  <si>
    <t>at 31/3/26</t>
  </si>
  <si>
    <t>RESERVES MONITORING 2025-26</t>
  </si>
  <si>
    <t>Bal 1/4/25</t>
  </si>
  <si>
    <t>VAT Expenditure in 2025-26</t>
  </si>
  <si>
    <t>April '25</t>
  </si>
  <si>
    <t>May '25</t>
  </si>
  <si>
    <t>June '25</t>
  </si>
  <si>
    <t>July '25</t>
  </si>
  <si>
    <t>August '25</t>
  </si>
  <si>
    <t>September '25</t>
  </si>
  <si>
    <t>October '25</t>
  </si>
  <si>
    <t>November '25</t>
  </si>
  <si>
    <t>December '25</t>
  </si>
  <si>
    <t>January '26</t>
  </si>
  <si>
    <t>February '26</t>
  </si>
  <si>
    <t>March '26</t>
  </si>
  <si>
    <t>Cllr Training</t>
  </si>
  <si>
    <t>Clerks's salary (training)</t>
  </si>
  <si>
    <t>Clerks's salary (FOI requests)</t>
  </si>
  <si>
    <t>Clerk's salary - Employer NI</t>
  </si>
  <si>
    <t>Churchyard Maintenance</t>
  </si>
  <si>
    <t>SCC Grant expenditure</t>
  </si>
  <si>
    <t>Wright Consulting</t>
  </si>
  <si>
    <t>SALC</t>
  </si>
  <si>
    <t>Suffolk County Council</t>
  </si>
  <si>
    <t>O2</t>
  </si>
  <si>
    <t>Jun</t>
  </si>
  <si>
    <t>Jul</t>
  </si>
  <si>
    <t>Sep</t>
  </si>
  <si>
    <t>Clerk's salary (general duties)</t>
  </si>
  <si>
    <t>Amazon (Stationery)</t>
  </si>
  <si>
    <t>Amazon (Screw heads)</t>
  </si>
  <si>
    <t>UK Safety Store</t>
  </si>
  <si>
    <t>SALC (Training)</t>
  </si>
  <si>
    <t>Clarkes of Walsham</t>
  </si>
  <si>
    <t>SALC (Audit)</t>
  </si>
  <si>
    <t>Eastwood Tree Svs</t>
  </si>
  <si>
    <t>Lloyds Bank</t>
  </si>
  <si>
    <t>MSDC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</si>
</sst>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#,##0.00;\(#,##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164" fontId="0" fillId="0" borderId="3" xfId="0" applyNumberFormat="1" applyBorder="1"/>
    <xf numFmtId="165" fontId="0" fillId="0" borderId="0" xfId="1" applyNumberFormat="1" applyFont="1"/>
    <xf numFmtId="165" fontId="0" fillId="0" borderId="1" xfId="1" applyNumberFormat="1" applyFont="1" applyBorder="1"/>
    <xf numFmtId="164" fontId="0" fillId="0" borderId="3" xfId="1" applyNumberFormat="1" applyFont="1" applyBorder="1"/>
    <xf numFmtId="165" fontId="3" fillId="0" borderId="0" xfId="1" applyNumberFormat="1" applyFont="1"/>
    <xf numFmtId="43" fontId="1" fillId="0" borderId="1" xfId="1" applyFont="1" applyFill="1" applyBorder="1"/>
    <xf numFmtId="43" fontId="7" fillId="0" borderId="0" xfId="1" applyFont="1"/>
    <xf numFmtId="43" fontId="1" fillId="0" borderId="0" xfId="1" applyFont="1"/>
    <xf numFmtId="43" fontId="0" fillId="0" borderId="0" xfId="1" applyFont="1"/>
    <xf numFmtId="43" fontId="0" fillId="0" borderId="2" xfId="1" applyFont="1" applyBorder="1"/>
    <xf numFmtId="43" fontId="0" fillId="0" borderId="1" xfId="1" applyFont="1" applyBorder="1"/>
    <xf numFmtId="43" fontId="0" fillId="0" borderId="0" xfId="1" applyFont="1" applyFill="1"/>
    <xf numFmtId="0" fontId="3" fillId="0" borderId="0" xfId="0" applyFont="1"/>
    <xf numFmtId="165" fontId="3" fillId="0" borderId="4" xfId="1" applyNumberFormat="1" applyFont="1" applyBorder="1"/>
    <xf numFmtId="43" fontId="0" fillId="0" borderId="4" xfId="1" applyFont="1" applyBorder="1"/>
    <xf numFmtId="165" fontId="0" fillId="0" borderId="4" xfId="1" applyNumberFormat="1" applyFont="1" applyBorder="1"/>
    <xf numFmtId="43" fontId="8" fillId="0" borderId="0" xfId="1" applyFont="1"/>
    <xf numFmtId="43" fontId="8" fillId="0" borderId="1" xfId="1" applyFont="1" applyBorder="1"/>
    <xf numFmtId="43" fontId="8" fillId="0" borderId="0" xfId="1" applyFont="1" applyBorder="1"/>
    <xf numFmtId="0" fontId="0" fillId="0" borderId="0" xfId="0" applyAlignment="1">
      <alignment horizontal="right"/>
    </xf>
    <xf numFmtId="165" fontId="3" fillId="0" borderId="5" xfId="1" applyNumberFormat="1" applyFont="1" applyBorder="1"/>
    <xf numFmtId="43" fontId="0" fillId="0" borderId="6" xfId="1" applyFont="1" applyBorder="1"/>
    <xf numFmtId="43" fontId="0" fillId="0" borderId="0" xfId="1" applyFont="1" applyBorder="1"/>
    <xf numFmtId="43" fontId="0" fillId="0" borderId="0" xfId="0" applyNumberFormat="1"/>
    <xf numFmtId="43" fontId="5" fillId="0" borderId="0" xfId="0" applyNumberFormat="1" applyFont="1"/>
    <xf numFmtId="43" fontId="0" fillId="0" borderId="8" xfId="1" applyFont="1" applyBorder="1"/>
    <xf numFmtId="43" fontId="1" fillId="0" borderId="1" xfId="1" applyFont="1" applyBorder="1"/>
    <xf numFmtId="166" fontId="0" fillId="0" borderId="0" xfId="0" applyNumberFormat="1"/>
    <xf numFmtId="166" fontId="0" fillId="0" borderId="0" xfId="1" applyNumberFormat="1" applyFont="1"/>
    <xf numFmtId="43" fontId="3" fillId="0" borderId="9" xfId="1" applyFont="1" applyBorder="1"/>
    <xf numFmtId="0" fontId="9" fillId="0" borderId="0" xfId="0" applyFont="1"/>
    <xf numFmtId="0" fontId="0" fillId="0" borderId="0" xfId="0" quotePrefix="1" applyAlignment="1">
      <alignment horizontal="center"/>
    </xf>
    <xf numFmtId="43" fontId="3" fillId="0" borderId="0" xfId="1" applyFont="1"/>
    <xf numFmtId="43" fontId="0" fillId="0" borderId="9" xfId="0" applyNumberFormat="1" applyBorder="1"/>
    <xf numFmtId="43" fontId="0" fillId="0" borderId="9" xfId="1" applyFont="1" applyBorder="1"/>
    <xf numFmtId="0" fontId="10" fillId="0" borderId="0" xfId="0" applyFont="1"/>
    <xf numFmtId="2" fontId="0" fillId="0" borderId="0" xfId="0" applyNumberFormat="1"/>
    <xf numFmtId="0" fontId="0" fillId="0" borderId="0" xfId="0" applyAlignment="1">
      <alignment vertical="top" wrapText="1"/>
    </xf>
    <xf numFmtId="8" fontId="0" fillId="0" borderId="0" xfId="0" applyNumberFormat="1"/>
    <xf numFmtId="0" fontId="0" fillId="0" borderId="0" xfId="0" applyAlignment="1">
      <alignment vertical="top"/>
    </xf>
    <xf numFmtId="43" fontId="0" fillId="0" borderId="11" xfId="1" applyFont="1" applyBorder="1"/>
    <xf numFmtId="0" fontId="0" fillId="0" borderId="3" xfId="0" applyBorder="1" applyAlignment="1">
      <alignment horizontal="center"/>
    </xf>
    <xf numFmtId="165" fontId="3" fillId="0" borderId="0" xfId="1" applyNumberFormat="1" applyFont="1" applyFill="1"/>
    <xf numFmtId="43" fontId="0" fillId="0" borderId="1" xfId="1" applyFont="1" applyFill="1" applyBorder="1"/>
    <xf numFmtId="0" fontId="11" fillId="0" borderId="0" xfId="0" applyFont="1"/>
    <xf numFmtId="166" fontId="0" fillId="0" borderId="9" xfId="0" applyNumberFormat="1" applyBorder="1"/>
    <xf numFmtId="166" fontId="0" fillId="0" borderId="12" xfId="0" applyNumberFormat="1" applyBorder="1"/>
    <xf numFmtId="0" fontId="0" fillId="0" borderId="0" xfId="0" quotePrefix="1"/>
    <xf numFmtId="0" fontId="5" fillId="0" borderId="0" xfId="0" quotePrefix="1" applyFont="1"/>
    <xf numFmtId="43" fontId="12" fillId="0" borderId="0" xfId="1" applyFont="1"/>
    <xf numFmtId="43" fontId="13" fillId="0" borderId="0" xfId="1" applyFont="1"/>
    <xf numFmtId="43" fontId="13" fillId="0" borderId="0" xfId="1" applyFont="1" applyFill="1"/>
    <xf numFmtId="43" fontId="13" fillId="0" borderId="0" xfId="1" applyFont="1" applyBorder="1"/>
    <xf numFmtId="43" fontId="8" fillId="0" borderId="0" xfId="1" applyFont="1" applyFill="1"/>
    <xf numFmtId="165" fontId="1" fillId="0" borderId="0" xfId="1" applyNumberFormat="1" applyFont="1"/>
    <xf numFmtId="0" fontId="2" fillId="0" borderId="2" xfId="0" applyFont="1" applyBorder="1"/>
    <xf numFmtId="165" fontId="2" fillId="0" borderId="2" xfId="1" applyNumberFormat="1" applyFont="1" applyBorder="1"/>
    <xf numFmtId="43" fontId="5" fillId="0" borderId="2" xfId="1" applyFont="1" applyBorder="1"/>
    <xf numFmtId="43" fontId="5" fillId="0" borderId="2" xfId="1" applyFont="1" applyFill="1" applyBorder="1"/>
    <xf numFmtId="43" fontId="3" fillId="0" borderId="0" xfId="1" applyFont="1" applyBorder="1"/>
    <xf numFmtId="43" fontId="3" fillId="0" borderId="0" xfId="1" applyFont="1" applyFill="1"/>
    <xf numFmtId="43" fontId="8" fillId="0" borderId="2" xfId="1" applyFont="1" applyBorder="1"/>
    <xf numFmtId="43" fontId="1" fillId="0" borderId="2" xfId="1" applyFont="1" applyBorder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3" xfId="1" applyFont="1" applyBorder="1"/>
    <xf numFmtId="43" fontId="2" fillId="0" borderId="3" xfId="1" applyFont="1" applyBorder="1"/>
    <xf numFmtId="43" fontId="0" fillId="0" borderId="7" xfId="1" applyFont="1" applyBorder="1"/>
    <xf numFmtId="43" fontId="0" fillId="0" borderId="12" xfId="0" applyNumberFormat="1" applyBorder="1"/>
    <xf numFmtId="0" fontId="14" fillId="0" borderId="0" xfId="0" applyFont="1"/>
    <xf numFmtId="43" fontId="0" fillId="0" borderId="0" xfId="1" applyFont="1" applyBorder="1" applyAlignment="1">
      <alignment horizontal="right"/>
    </xf>
    <xf numFmtId="43" fontId="8" fillId="0" borderId="3" xfId="1" applyFont="1" applyBorder="1"/>
    <xf numFmtId="0" fontId="2" fillId="0" borderId="0" xfId="0" applyFont="1"/>
    <xf numFmtId="2" fontId="0" fillId="0" borderId="0" xfId="0" applyNumberFormat="1" applyAlignment="1">
      <alignment vertical="top" wrapText="1"/>
    </xf>
    <xf numFmtId="2" fontId="8" fillId="0" borderId="0" xfId="1" applyNumberFormat="1" applyFont="1"/>
    <xf numFmtId="2" fontId="0" fillId="0" borderId="9" xfId="0" applyNumberFormat="1" applyBorder="1"/>
    <xf numFmtId="2" fontId="1" fillId="0" borderId="0" xfId="1" applyNumberFormat="1" applyFont="1"/>
    <xf numFmtId="2" fontId="1" fillId="0" borderId="10" xfId="1" applyNumberFormat="1" applyFont="1" applyBorder="1"/>
    <xf numFmtId="2" fontId="1" fillId="0" borderId="0" xfId="1" applyNumberFormat="1" applyFont="1" applyAlignment="1">
      <alignment vertical="top" wrapText="1"/>
    </xf>
    <xf numFmtId="2" fontId="1" fillId="0" borderId="0" xfId="1" applyNumberFormat="1" applyFont="1" applyAlignment="1">
      <alignment vertical="top"/>
    </xf>
    <xf numFmtId="2" fontId="1" fillId="0" borderId="0" xfId="1" applyNumberFormat="1" applyFont="1" applyFill="1"/>
    <xf numFmtId="2" fontId="1" fillId="0" borderId="0" xfId="1" applyNumberFormat="1" applyFont="1" applyBorder="1"/>
    <xf numFmtId="165" fontId="3" fillId="0" borderId="2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ggie Burt" id="{D90A2464-5FA1-4C23-847E-9840378ED707}" userId="3c3c9615714693b5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0" dT="2025-09-05T10:19:39.73" personId="{D90A2464-5FA1-4C23-847E-9840378ED707}" id="{B2348655-CAE2-49A1-81D6-C4B0C804BD29}">
    <text>Backdated payment from UKPN re wayleave agmt - Broom Hill</text>
  </threadedComment>
  <threadedComment ref="F22" dT="2025-08-02T09:16:18.52" personId="{D90A2464-5FA1-4C23-847E-9840378ED707}" id="{52E18EF6-09E4-4972-821D-266964788778}">
    <text>Includes PC Hard Drive</text>
  </threadedComment>
  <threadedComment ref="Q24" dT="2025-08-18T13:27:48.51" personId="{D90A2464-5FA1-4C23-847E-9840378ED707}" id="{5399AD24-5375-470D-9D60-C2B9CB464BA6}">
    <text>Move to Localities Grant</text>
  </threadedComment>
  <threadedComment ref="Q47" dT="2025-08-18T13:26:16.11" personId="{D90A2464-5FA1-4C23-847E-9840378ED707}" id="{EF882114-D928-4082-9F18-A7AB5E66FA18}">
    <text>Add UTB costs for benches</text>
  </threadedComment>
  <threadedComment ref="G81" dT="2025-08-29T09:10:17.03" personId="{D90A2464-5FA1-4C23-847E-9840378ED707}" id="{41298489-E555-4FB3-A798-DCDD936A7D30}">
    <text>Will disappear once statement (incl £6 bank charge) appeasr.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4828-637D-432C-BD24-895099ECF6FB}">
  <sheetPr>
    <pageSetUpPr fitToPage="1"/>
  </sheetPr>
  <dimension ref="A1:T82"/>
  <sheetViews>
    <sheetView tabSelected="1" topLeftCell="A57" zoomScale="88" zoomScaleNormal="88" workbookViewId="0">
      <selection activeCell="H38" sqref="H38"/>
    </sheetView>
  </sheetViews>
  <sheetFormatPr defaultRowHeight="15" x14ac:dyDescent="0.25"/>
  <cols>
    <col min="1" max="1" width="37.42578125" customWidth="1"/>
    <col min="2" max="2" width="14.42578125" customWidth="1"/>
    <col min="3" max="3" width="12.7109375" customWidth="1"/>
    <col min="4" max="4" width="12.28515625" customWidth="1"/>
    <col min="5" max="5" width="12.85546875" customWidth="1"/>
    <col min="6" max="6" width="12.7109375" customWidth="1"/>
    <col min="7" max="7" width="13.140625" customWidth="1"/>
    <col min="8" max="8" width="12.28515625" customWidth="1"/>
    <col min="9" max="9" width="13.7109375" hidden="1" customWidth="1"/>
    <col min="10" max="10" width="12.85546875" hidden="1" customWidth="1"/>
    <col min="11" max="11" width="13.42578125" hidden="1" customWidth="1"/>
    <col min="12" max="12" width="13.7109375" hidden="1" customWidth="1"/>
    <col min="13" max="13" width="12" hidden="1" customWidth="1"/>
    <col min="14" max="14" width="12.28515625" hidden="1" customWidth="1"/>
    <col min="15" max="16" width="12.140625" customWidth="1"/>
    <col min="17" max="17" width="11.28515625" bestFit="1" customWidth="1"/>
    <col min="18" max="18" width="10.140625" bestFit="1" customWidth="1"/>
    <col min="19" max="19" width="11.5703125" customWidth="1"/>
    <col min="20" max="20" width="14.28515625" customWidth="1"/>
  </cols>
  <sheetData>
    <row r="1" spans="1:18" ht="23.25" x14ac:dyDescent="0.35">
      <c r="A1" s="1" t="s">
        <v>45</v>
      </c>
      <c r="J1" s="2"/>
    </row>
    <row r="2" spans="1:18" ht="23.25" x14ac:dyDescent="0.35">
      <c r="A2" s="1" t="s">
        <v>94</v>
      </c>
    </row>
    <row r="3" spans="1:18" x14ac:dyDescent="0.25">
      <c r="B3" t="s">
        <v>0</v>
      </c>
      <c r="C3" s="3"/>
      <c r="N3" s="4"/>
      <c r="O3" s="7" t="s">
        <v>92</v>
      </c>
      <c r="P3" s="52" t="s">
        <v>1</v>
      </c>
    </row>
    <row r="4" spans="1:18" x14ac:dyDescent="0.25">
      <c r="B4" t="s">
        <v>95</v>
      </c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8" t="s">
        <v>13</v>
      </c>
      <c r="O4" s="7" t="s">
        <v>96</v>
      </c>
      <c r="P4" s="52" t="s">
        <v>14</v>
      </c>
    </row>
    <row r="5" spans="1:18" x14ac:dyDescent="0.25">
      <c r="C5" s="3"/>
      <c r="N5" s="9"/>
      <c r="P5" s="5"/>
      <c r="R5" s="85"/>
    </row>
    <row r="6" spans="1:18" x14ac:dyDescent="0.25">
      <c r="A6" s="10" t="s">
        <v>15</v>
      </c>
      <c r="C6" s="3"/>
      <c r="N6" s="66"/>
      <c r="P6" s="11"/>
      <c r="R6" s="85"/>
    </row>
    <row r="7" spans="1:18" x14ac:dyDescent="0.25">
      <c r="B7" s="12"/>
      <c r="C7" s="13"/>
      <c r="D7" s="12"/>
      <c r="E7" s="12"/>
      <c r="F7" s="12"/>
      <c r="G7" s="12"/>
      <c r="H7" s="12"/>
      <c r="I7" s="12"/>
      <c r="J7" s="65"/>
      <c r="K7" s="12"/>
      <c r="L7" s="12"/>
      <c r="M7" s="12"/>
      <c r="N7" s="67"/>
      <c r="O7" s="12"/>
      <c r="P7" s="14"/>
      <c r="R7" s="85"/>
    </row>
    <row r="8" spans="1:18" x14ac:dyDescent="0.25">
      <c r="A8" t="s">
        <v>16</v>
      </c>
      <c r="B8" s="15">
        <v>35259</v>
      </c>
      <c r="C8" s="16">
        <v>17629.5</v>
      </c>
      <c r="D8" s="17"/>
      <c r="E8" s="17"/>
      <c r="F8" s="17"/>
      <c r="G8" s="17"/>
      <c r="H8" s="18">
        <v>17629.5</v>
      </c>
      <c r="I8" s="60"/>
      <c r="J8" s="27"/>
      <c r="K8" s="61"/>
      <c r="L8" s="43"/>
      <c r="M8" s="43"/>
      <c r="N8" s="68"/>
      <c r="O8" s="19">
        <f t="shared" ref="O8:O12" si="0">SUM(C8:N8)</f>
        <v>35259</v>
      </c>
      <c r="P8" s="78">
        <f t="shared" ref="P8:P13" si="1">B8-O8</f>
        <v>0</v>
      </c>
    </row>
    <row r="9" spans="1:18" x14ac:dyDescent="0.25">
      <c r="A9" t="s">
        <v>17</v>
      </c>
      <c r="B9" s="15">
        <v>500</v>
      </c>
      <c r="C9" s="21"/>
      <c r="D9" s="19"/>
      <c r="E9" s="19">
        <v>162.88999999999999</v>
      </c>
      <c r="F9" s="19"/>
      <c r="G9" s="19"/>
      <c r="H9" s="19">
        <v>158.86000000000001</v>
      </c>
      <c r="I9" s="61"/>
      <c r="J9" s="27"/>
      <c r="K9" s="61"/>
      <c r="L9" s="43"/>
      <c r="M9" s="43"/>
      <c r="N9" s="72"/>
      <c r="O9" s="19">
        <f t="shared" si="0"/>
        <v>321.75</v>
      </c>
      <c r="P9" s="78">
        <f t="shared" si="1"/>
        <v>178.25</v>
      </c>
      <c r="R9" s="34"/>
    </row>
    <row r="10" spans="1:18" x14ac:dyDescent="0.25">
      <c r="A10" t="s">
        <v>18</v>
      </c>
      <c r="B10" s="15">
        <v>0</v>
      </c>
      <c r="C10" s="21"/>
      <c r="D10" s="19"/>
      <c r="E10" s="19"/>
      <c r="F10" s="19"/>
      <c r="G10" s="19"/>
      <c r="H10" s="19">
        <v>23.84</v>
      </c>
      <c r="I10" s="62"/>
      <c r="J10" s="27"/>
      <c r="K10" s="61"/>
      <c r="L10" s="43"/>
      <c r="M10" s="43"/>
      <c r="N10" s="68"/>
      <c r="O10" s="19">
        <f t="shared" si="0"/>
        <v>23.84</v>
      </c>
      <c r="P10" s="78">
        <f t="shared" si="1"/>
        <v>-23.84</v>
      </c>
      <c r="R10" s="34"/>
    </row>
    <row r="11" spans="1:18" x14ac:dyDescent="0.25">
      <c r="A11" t="s">
        <v>67</v>
      </c>
      <c r="B11" s="15">
        <v>0</v>
      </c>
      <c r="C11" s="21"/>
      <c r="D11" s="19"/>
      <c r="E11" s="19"/>
      <c r="F11" s="19"/>
      <c r="G11" s="19"/>
      <c r="H11" s="19"/>
      <c r="I11" s="62"/>
      <c r="J11" s="27"/>
      <c r="K11" s="62"/>
      <c r="L11" s="43"/>
      <c r="M11" s="43"/>
      <c r="N11" s="68"/>
      <c r="O11" s="19">
        <f t="shared" si="0"/>
        <v>0</v>
      </c>
      <c r="P11" s="78">
        <f t="shared" si="1"/>
        <v>0</v>
      </c>
    </row>
    <row r="12" spans="1:18" x14ac:dyDescent="0.25">
      <c r="A12" t="s">
        <v>90</v>
      </c>
      <c r="B12" s="15">
        <v>0</v>
      </c>
      <c r="C12" s="21"/>
      <c r="D12" s="19"/>
      <c r="E12" s="19"/>
      <c r="F12" s="19"/>
      <c r="G12" s="19"/>
      <c r="H12" s="19"/>
      <c r="I12" s="64"/>
      <c r="J12" s="27"/>
      <c r="K12" s="61"/>
      <c r="L12" s="43"/>
      <c r="M12" s="43"/>
      <c r="N12" s="68"/>
      <c r="O12" s="19">
        <f t="shared" si="0"/>
        <v>0</v>
      </c>
      <c r="P12" s="78">
        <f t="shared" si="1"/>
        <v>0</v>
      </c>
      <c r="R12" s="34"/>
    </row>
    <row r="13" spans="1:18" x14ac:dyDescent="0.25">
      <c r="A13" t="s">
        <v>19</v>
      </c>
      <c r="B13" s="15">
        <v>0</v>
      </c>
      <c r="C13" s="21">
        <f>15+7.5</f>
        <v>22.5</v>
      </c>
      <c r="D13" s="19">
        <f>12+12+7.5+6</f>
        <v>37.5</v>
      </c>
      <c r="E13" s="19"/>
      <c r="F13" s="19"/>
      <c r="G13" s="19">
        <v>5</v>
      </c>
      <c r="H13" s="19"/>
      <c r="I13" s="62"/>
      <c r="J13" s="27"/>
      <c r="K13" s="61"/>
      <c r="L13" s="43"/>
      <c r="M13" s="43"/>
      <c r="N13" s="72"/>
      <c r="O13" s="19">
        <f t="shared" ref="O13" si="2">SUM(C13:N13)</f>
        <v>65</v>
      </c>
      <c r="P13" s="78">
        <f t="shared" si="1"/>
        <v>-65</v>
      </c>
    </row>
    <row r="14" spans="1:18" x14ac:dyDescent="0.25">
      <c r="A14" s="23" t="s">
        <v>20</v>
      </c>
      <c r="B14" s="24">
        <f t="shared" ref="B14:P14" si="3">SUM(B7:B13)</f>
        <v>35759</v>
      </c>
      <c r="C14" s="25">
        <f t="shared" si="3"/>
        <v>17652</v>
      </c>
      <c r="D14" s="25">
        <f t="shared" si="3"/>
        <v>37.5</v>
      </c>
      <c r="E14" s="25">
        <f t="shared" si="3"/>
        <v>162.88999999999999</v>
      </c>
      <c r="F14" s="25">
        <f t="shared" si="3"/>
        <v>0</v>
      </c>
      <c r="G14" s="25">
        <f t="shared" si="3"/>
        <v>5</v>
      </c>
      <c r="H14" s="25">
        <f t="shared" si="3"/>
        <v>17812.2</v>
      </c>
      <c r="I14" s="25">
        <f t="shared" si="3"/>
        <v>0</v>
      </c>
      <c r="J14" s="25">
        <f t="shared" si="3"/>
        <v>0</v>
      </c>
      <c r="K14" s="25">
        <f t="shared" si="3"/>
        <v>0</v>
      </c>
      <c r="L14" s="25">
        <f t="shared" si="3"/>
        <v>0</v>
      </c>
      <c r="M14" s="25">
        <f t="shared" si="3"/>
        <v>0</v>
      </c>
      <c r="N14" s="25">
        <f t="shared" si="3"/>
        <v>0</v>
      </c>
      <c r="O14" s="25">
        <f t="shared" si="3"/>
        <v>35669.589999999997</v>
      </c>
      <c r="P14" s="25">
        <f t="shared" si="3"/>
        <v>89.41</v>
      </c>
      <c r="Q14" s="74"/>
    </row>
    <row r="15" spans="1:18" x14ac:dyDescent="0.25">
      <c r="B15" s="12"/>
      <c r="C15" s="21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/>
      <c r="O15" s="19"/>
      <c r="P15" s="78"/>
    </row>
    <row r="16" spans="1:18" x14ac:dyDescent="0.25">
      <c r="A16" s="10" t="s">
        <v>21</v>
      </c>
      <c r="B16" s="12"/>
      <c r="C16" s="21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  <c r="O16" s="19"/>
      <c r="P16" s="78"/>
    </row>
    <row r="17" spans="1:20" x14ac:dyDescent="0.25">
      <c r="A17" t="s">
        <v>138</v>
      </c>
      <c r="B17" s="15">
        <v>7318</v>
      </c>
      <c r="C17" s="21">
        <f>538.6+361.8</f>
        <v>900.40000000000009</v>
      </c>
      <c r="D17" s="19">
        <v>440.44</v>
      </c>
      <c r="E17" s="19">
        <v>573.55999999999995</v>
      </c>
      <c r="F17" s="19">
        <v>377.04</v>
      </c>
      <c r="G17" s="19">
        <v>667.72</v>
      </c>
      <c r="H17" s="19">
        <v>650.80999999999995</v>
      </c>
      <c r="I17" s="27"/>
      <c r="J17" s="27"/>
      <c r="K17" s="61"/>
      <c r="L17" s="43"/>
      <c r="M17" s="43"/>
      <c r="N17" s="18"/>
      <c r="O17" s="19">
        <f>SUM(C17:N17)</f>
        <v>3609.97</v>
      </c>
      <c r="P17" s="78">
        <f>B17-O17</f>
        <v>3708.03</v>
      </c>
      <c r="R17" s="34"/>
      <c r="T17" s="19"/>
    </row>
    <row r="18" spans="1:20" x14ac:dyDescent="0.25">
      <c r="A18" t="s">
        <v>126</v>
      </c>
      <c r="B18" s="15">
        <v>792</v>
      </c>
      <c r="C18" s="21"/>
      <c r="D18" s="19"/>
      <c r="E18" s="19"/>
      <c r="F18" s="19"/>
      <c r="G18" s="19"/>
      <c r="H18" s="19"/>
      <c r="I18" s="27"/>
      <c r="J18" s="27"/>
      <c r="K18" s="61"/>
      <c r="L18" s="43"/>
      <c r="M18" s="43"/>
      <c r="N18" s="18"/>
      <c r="O18" s="19">
        <f>SUM(C18:N18)</f>
        <v>0</v>
      </c>
      <c r="P18" s="78"/>
      <c r="R18" s="34"/>
      <c r="T18" s="19"/>
    </row>
    <row r="19" spans="1:20" x14ac:dyDescent="0.25">
      <c r="A19" t="s">
        <v>127</v>
      </c>
      <c r="B19" s="15">
        <v>285</v>
      </c>
      <c r="C19" s="21"/>
      <c r="D19" s="19"/>
      <c r="E19" s="19"/>
      <c r="F19" s="19"/>
      <c r="G19" s="19"/>
      <c r="H19" s="19"/>
      <c r="I19" s="27"/>
      <c r="J19" s="27"/>
      <c r="K19" s="61"/>
      <c r="L19" s="43"/>
      <c r="M19" s="43"/>
      <c r="N19" s="18"/>
      <c r="O19" s="19">
        <f>SUM(C19:N19)</f>
        <v>0</v>
      </c>
      <c r="P19" s="78"/>
      <c r="R19" s="34"/>
      <c r="T19" s="19"/>
    </row>
    <row r="20" spans="1:20" x14ac:dyDescent="0.25">
      <c r="A20" t="s">
        <v>128</v>
      </c>
      <c r="B20" s="15">
        <f>348+119+43</f>
        <v>510</v>
      </c>
      <c r="C20" s="21"/>
      <c r="D20" s="19"/>
      <c r="E20" s="19"/>
      <c r="F20" s="19">
        <v>420.52</v>
      </c>
      <c r="G20" s="19"/>
      <c r="H20" s="19"/>
      <c r="I20" s="27"/>
      <c r="J20" s="27"/>
      <c r="K20" s="61"/>
      <c r="L20" s="43"/>
      <c r="M20" s="43"/>
      <c r="N20" s="18"/>
      <c r="O20" s="19">
        <f>SUM(C20:N20)</f>
        <v>420.52</v>
      </c>
      <c r="P20" s="78"/>
      <c r="R20" s="34"/>
      <c r="T20" s="19"/>
    </row>
    <row r="21" spans="1:20" x14ac:dyDescent="0.25">
      <c r="A21" t="s">
        <v>48</v>
      </c>
      <c r="B21" s="15">
        <v>510</v>
      </c>
      <c r="C21" s="21">
        <f>35+36</f>
        <v>71</v>
      </c>
      <c r="D21" s="19"/>
      <c r="E21" s="27">
        <v>34</v>
      </c>
      <c r="F21" s="19"/>
      <c r="G21" s="19"/>
      <c r="H21" s="19"/>
      <c r="I21" s="27"/>
      <c r="J21" s="27"/>
      <c r="K21" s="61"/>
      <c r="L21" s="43"/>
      <c r="M21" s="43"/>
      <c r="N21" s="68"/>
      <c r="O21" s="19">
        <f t="shared" ref="O21:O37" si="4">SUM(C21:N21)</f>
        <v>105</v>
      </c>
      <c r="P21" s="78">
        <f t="shared" ref="P21:P47" si="5">B21-O21</f>
        <v>405</v>
      </c>
      <c r="R21" s="34"/>
      <c r="T21" s="19"/>
    </row>
    <row r="22" spans="1:20" x14ac:dyDescent="0.25">
      <c r="A22" t="s">
        <v>49</v>
      </c>
      <c r="B22" s="15">
        <v>400</v>
      </c>
      <c r="C22" s="28">
        <f>10</f>
        <v>10</v>
      </c>
      <c r="D22" s="29">
        <f>10+6.24+30.28+15.67</f>
        <v>62.190000000000005</v>
      </c>
      <c r="E22" s="29">
        <v>10</v>
      </c>
      <c r="F22" s="29">
        <f>45+6.78+45.82</f>
        <v>97.6</v>
      </c>
      <c r="G22" s="29">
        <v>8.3800000000000008</v>
      </c>
      <c r="H22" s="29">
        <v>8.3800000000000008</v>
      </c>
      <c r="I22" s="29"/>
      <c r="J22" s="29"/>
      <c r="K22" s="63"/>
      <c r="L22" s="70"/>
      <c r="M22" s="70"/>
      <c r="N22" s="73"/>
      <c r="O22" s="19">
        <f t="shared" si="4"/>
        <v>196.54999999999998</v>
      </c>
      <c r="P22" s="84">
        <f t="shared" si="5"/>
        <v>203.45000000000002</v>
      </c>
      <c r="R22" s="85"/>
      <c r="S22" s="34"/>
      <c r="T22" s="28"/>
    </row>
    <row r="23" spans="1:20" x14ac:dyDescent="0.25">
      <c r="A23" t="s">
        <v>125</v>
      </c>
      <c r="B23" s="15">
        <v>0</v>
      </c>
      <c r="C23" s="21"/>
      <c r="D23" s="19"/>
      <c r="E23" s="19"/>
      <c r="F23" s="19"/>
      <c r="G23" s="19"/>
      <c r="H23" s="19"/>
      <c r="I23" s="27"/>
      <c r="J23" s="27"/>
      <c r="K23" s="61"/>
      <c r="L23" s="43"/>
      <c r="M23" s="43"/>
      <c r="N23" s="68"/>
      <c r="O23" s="19">
        <f t="shared" si="4"/>
        <v>0</v>
      </c>
      <c r="P23" s="78">
        <f t="shared" si="5"/>
        <v>0</v>
      </c>
      <c r="R23" s="34"/>
      <c r="T23" s="19"/>
    </row>
    <row r="24" spans="1:20" x14ac:dyDescent="0.25">
      <c r="A24" t="s">
        <v>60</v>
      </c>
      <c r="B24" s="95">
        <v>120</v>
      </c>
      <c r="D24" s="19"/>
      <c r="E24" s="19"/>
      <c r="F24" s="19"/>
      <c r="G24" s="19"/>
      <c r="H24" s="19"/>
      <c r="I24" s="27"/>
      <c r="J24" s="27"/>
      <c r="K24" s="61"/>
      <c r="L24" s="43"/>
      <c r="M24" s="43"/>
      <c r="N24" s="68"/>
      <c r="O24" s="19">
        <f t="shared" si="4"/>
        <v>0</v>
      </c>
      <c r="P24" s="78">
        <f t="shared" si="5"/>
        <v>120</v>
      </c>
      <c r="R24" s="34"/>
      <c r="T24" s="19"/>
    </row>
    <row r="25" spans="1:20" x14ac:dyDescent="0.25">
      <c r="A25" t="s">
        <v>50</v>
      </c>
      <c r="B25" s="15">
        <v>210</v>
      </c>
      <c r="C25" s="21">
        <v>139.97999999999999</v>
      </c>
      <c r="D25" s="19">
        <v>104.99</v>
      </c>
      <c r="E25" s="19"/>
      <c r="F25" s="19"/>
      <c r="G25" s="19"/>
      <c r="H25" s="19"/>
      <c r="I25" s="27"/>
      <c r="J25" s="27"/>
      <c r="K25" s="61"/>
      <c r="L25" s="43"/>
      <c r="M25" s="43"/>
      <c r="N25" s="68"/>
      <c r="O25" s="19">
        <f t="shared" si="4"/>
        <v>244.96999999999997</v>
      </c>
      <c r="P25" s="78">
        <f t="shared" si="5"/>
        <v>-34.96999999999997</v>
      </c>
      <c r="R25" s="34"/>
      <c r="T25" s="19"/>
    </row>
    <row r="26" spans="1:20" x14ac:dyDescent="0.25">
      <c r="A26" t="s">
        <v>23</v>
      </c>
      <c r="B26" s="15">
        <v>450</v>
      </c>
      <c r="C26" s="21"/>
      <c r="D26" s="19">
        <v>311.01</v>
      </c>
      <c r="E26" s="19"/>
      <c r="F26" s="19"/>
      <c r="G26" s="19"/>
      <c r="H26" s="19"/>
      <c r="I26" s="27"/>
      <c r="J26" s="27"/>
      <c r="K26" s="61"/>
      <c r="L26" s="43"/>
      <c r="M26" s="43"/>
      <c r="N26" s="73"/>
      <c r="O26" s="19">
        <f t="shared" si="4"/>
        <v>311.01</v>
      </c>
      <c r="P26" s="84">
        <f t="shared" si="5"/>
        <v>138.99</v>
      </c>
      <c r="S26" s="34"/>
      <c r="T26" s="19"/>
    </row>
    <row r="27" spans="1:20" x14ac:dyDescent="0.25">
      <c r="A27" t="s">
        <v>47</v>
      </c>
      <c r="B27" s="15">
        <v>600</v>
      </c>
      <c r="C27" s="21"/>
      <c r="D27" s="19">
        <v>0</v>
      </c>
      <c r="E27" s="19">
        <v>282</v>
      </c>
      <c r="F27" s="19"/>
      <c r="G27" s="19"/>
      <c r="H27" s="19"/>
      <c r="I27" s="27"/>
      <c r="J27" s="27"/>
      <c r="K27" s="61"/>
      <c r="L27" s="43"/>
      <c r="M27" s="43"/>
      <c r="N27" s="68"/>
      <c r="O27" s="19">
        <v>0</v>
      </c>
      <c r="P27" s="78">
        <f t="shared" si="5"/>
        <v>600</v>
      </c>
      <c r="R27" s="34"/>
      <c r="T27" s="19"/>
    </row>
    <row r="28" spans="1:20" x14ac:dyDescent="0.25">
      <c r="A28" t="s">
        <v>22</v>
      </c>
      <c r="B28" s="15">
        <v>420</v>
      </c>
      <c r="C28" s="21"/>
      <c r="D28" s="19"/>
      <c r="E28" s="19"/>
      <c r="F28" s="19"/>
      <c r="G28" s="19"/>
      <c r="H28" s="19">
        <v>399.78</v>
      </c>
      <c r="I28" s="27"/>
      <c r="J28" s="27"/>
      <c r="K28" s="61"/>
      <c r="L28" s="43"/>
      <c r="M28" s="43"/>
      <c r="N28" s="68"/>
      <c r="O28" s="19">
        <f t="shared" si="4"/>
        <v>399.78</v>
      </c>
      <c r="P28" s="78">
        <f t="shared" si="5"/>
        <v>20.220000000000027</v>
      </c>
      <c r="R28" s="34"/>
      <c r="T28" s="19"/>
    </row>
    <row r="29" spans="1:20" x14ac:dyDescent="0.25">
      <c r="A29" t="s">
        <v>51</v>
      </c>
      <c r="B29" s="15">
        <v>200</v>
      </c>
      <c r="C29" s="21">
        <f>50</f>
        <v>50</v>
      </c>
      <c r="D29" s="19"/>
      <c r="E29" s="19"/>
      <c r="F29" s="19"/>
      <c r="G29" s="19"/>
      <c r="H29" s="19"/>
      <c r="I29" s="27"/>
      <c r="J29" s="27"/>
      <c r="K29" s="62"/>
      <c r="L29" s="43"/>
      <c r="M29" s="43"/>
      <c r="N29" s="68"/>
      <c r="O29" s="19">
        <f t="shared" si="4"/>
        <v>50</v>
      </c>
      <c r="P29" s="78">
        <f t="shared" si="5"/>
        <v>150</v>
      </c>
      <c r="R29" s="34"/>
      <c r="T29" s="19"/>
    </row>
    <row r="30" spans="1:20" x14ac:dyDescent="0.25">
      <c r="A30" t="s">
        <v>52</v>
      </c>
      <c r="B30" s="15">
        <v>102</v>
      </c>
      <c r="C30" s="21">
        <f>6+3</f>
        <v>9</v>
      </c>
      <c r="D30" s="19">
        <f>6+3</f>
        <v>9</v>
      </c>
      <c r="E30" s="19">
        <v>9</v>
      </c>
      <c r="F30" s="19">
        <f>3+6</f>
        <v>9</v>
      </c>
      <c r="G30" s="19">
        <f>3+6</f>
        <v>9</v>
      </c>
      <c r="H30" s="19">
        <f>3+6</f>
        <v>9</v>
      </c>
      <c r="I30" s="27"/>
      <c r="J30" s="27"/>
      <c r="K30" s="61"/>
      <c r="L30" s="43"/>
      <c r="M30" s="43"/>
      <c r="N30" s="73"/>
      <c r="O30" s="19">
        <f t="shared" si="4"/>
        <v>54</v>
      </c>
      <c r="P30" s="84">
        <f t="shared" si="5"/>
        <v>48</v>
      </c>
      <c r="S30" s="34"/>
      <c r="T30" s="19"/>
    </row>
    <row r="31" spans="1:20" x14ac:dyDescent="0.25">
      <c r="A31" t="s">
        <v>53</v>
      </c>
      <c r="B31" s="15">
        <v>170</v>
      </c>
      <c r="C31" s="21"/>
      <c r="D31" s="19"/>
      <c r="E31" s="19"/>
      <c r="F31" s="19"/>
      <c r="G31" s="19">
        <v>136.5</v>
      </c>
      <c r="H31" s="19"/>
      <c r="I31" s="27"/>
      <c r="J31" s="27"/>
      <c r="K31" s="61"/>
      <c r="L31" s="43"/>
      <c r="M31" s="43"/>
      <c r="N31" s="68"/>
      <c r="O31" s="19">
        <f t="shared" si="4"/>
        <v>136.5</v>
      </c>
      <c r="P31" s="84">
        <f t="shared" si="5"/>
        <v>33.5</v>
      </c>
      <c r="S31" s="34"/>
      <c r="T31" s="19"/>
    </row>
    <row r="32" spans="1:20" x14ac:dyDescent="0.25">
      <c r="A32" t="s">
        <v>93</v>
      </c>
      <c r="B32" s="15">
        <v>500</v>
      </c>
      <c r="C32" s="21"/>
      <c r="D32" s="19"/>
      <c r="E32" s="19"/>
      <c r="F32" s="19"/>
      <c r="G32" s="19">
        <v>107.9</v>
      </c>
      <c r="H32" s="19">
        <v>39.85</v>
      </c>
      <c r="I32" s="27"/>
      <c r="J32" s="64"/>
      <c r="K32" s="61"/>
      <c r="L32" s="43"/>
      <c r="M32" s="43"/>
      <c r="N32" s="68"/>
      <c r="O32" s="19">
        <f t="shared" si="4"/>
        <v>147.75</v>
      </c>
      <c r="P32" s="84">
        <f t="shared" si="5"/>
        <v>352.25</v>
      </c>
      <c r="S32" s="34"/>
      <c r="T32" s="19"/>
    </row>
    <row r="33" spans="1:20" x14ac:dyDescent="0.25">
      <c r="A33" t="s">
        <v>54</v>
      </c>
      <c r="B33" s="15">
        <v>35</v>
      </c>
      <c r="C33" s="21">
        <f>47</f>
        <v>47</v>
      </c>
      <c r="D33" s="27"/>
      <c r="E33" s="19"/>
      <c r="F33" s="19"/>
      <c r="G33" s="19"/>
      <c r="H33" s="19"/>
      <c r="I33" s="27"/>
      <c r="J33" s="27"/>
      <c r="K33" s="61"/>
      <c r="L33" s="43"/>
      <c r="M33" s="43"/>
      <c r="N33" s="68"/>
      <c r="O33" s="19">
        <f t="shared" si="4"/>
        <v>47</v>
      </c>
      <c r="P33" s="78">
        <f t="shared" si="5"/>
        <v>-12</v>
      </c>
      <c r="R33" s="85"/>
      <c r="T33" s="19"/>
    </row>
    <row r="34" spans="1:20" x14ac:dyDescent="0.25">
      <c r="A34" t="s">
        <v>55</v>
      </c>
      <c r="B34" s="15">
        <v>1625</v>
      </c>
      <c r="C34" s="21"/>
      <c r="D34" s="19"/>
      <c r="E34" s="19"/>
      <c r="F34" s="19"/>
      <c r="G34" s="19"/>
      <c r="H34" s="19"/>
      <c r="I34" s="27"/>
      <c r="J34" s="27"/>
      <c r="K34" s="61"/>
      <c r="L34" s="43"/>
      <c r="M34" s="43"/>
      <c r="N34" s="68"/>
      <c r="O34" s="19">
        <f t="shared" si="4"/>
        <v>0</v>
      </c>
      <c r="P34" s="84">
        <f t="shared" si="5"/>
        <v>1625</v>
      </c>
      <c r="S34" s="34"/>
      <c r="T34" s="19"/>
    </row>
    <row r="35" spans="1:20" x14ac:dyDescent="0.25">
      <c r="A35" t="s">
        <v>56</v>
      </c>
      <c r="B35" s="15">
        <v>460</v>
      </c>
      <c r="C35" s="21"/>
      <c r="D35" s="19">
        <v>19.600000000000001</v>
      </c>
      <c r="E35" s="19"/>
      <c r="F35" s="19"/>
      <c r="G35" s="19">
        <v>489.9</v>
      </c>
      <c r="H35" s="19"/>
      <c r="I35" s="27"/>
      <c r="J35" s="27"/>
      <c r="K35" s="61"/>
      <c r="L35" s="43"/>
      <c r="M35" s="43"/>
      <c r="N35" s="68"/>
      <c r="O35" s="19">
        <f t="shared" si="4"/>
        <v>509.5</v>
      </c>
      <c r="P35" s="78">
        <f t="shared" si="5"/>
        <v>-49.5</v>
      </c>
      <c r="R35" s="34"/>
      <c r="T35" s="19"/>
    </row>
    <row r="36" spans="1:20" x14ac:dyDescent="0.25">
      <c r="A36" t="s">
        <v>70</v>
      </c>
      <c r="B36" s="15">
        <v>350</v>
      </c>
      <c r="C36" s="21">
        <f>247.35</f>
        <v>247.35</v>
      </c>
      <c r="D36" s="19"/>
      <c r="E36" s="19"/>
      <c r="F36" s="19"/>
      <c r="G36" s="19"/>
      <c r="H36" s="19"/>
      <c r="I36" s="27"/>
      <c r="J36" s="27"/>
      <c r="K36" s="61"/>
      <c r="L36" s="43"/>
      <c r="M36" s="43"/>
      <c r="N36" s="68"/>
      <c r="O36" s="19">
        <f t="shared" si="4"/>
        <v>247.35</v>
      </c>
      <c r="P36" s="78">
        <f t="shared" si="5"/>
        <v>102.65</v>
      </c>
      <c r="R36" s="34"/>
      <c r="T36" s="19"/>
    </row>
    <row r="37" spans="1:20" x14ac:dyDescent="0.25">
      <c r="A37" t="s">
        <v>57</v>
      </c>
      <c r="B37" s="15">
        <v>1700</v>
      </c>
      <c r="C37" s="21"/>
      <c r="D37" s="19"/>
      <c r="E37" s="19"/>
      <c r="F37" s="19">
        <v>150</v>
      </c>
      <c r="G37" s="19">
        <v>550</v>
      </c>
      <c r="H37" s="19">
        <v>250</v>
      </c>
      <c r="I37" s="27"/>
      <c r="J37" s="27"/>
      <c r="K37" s="61"/>
      <c r="L37" s="43"/>
      <c r="M37" s="43"/>
      <c r="N37" s="73"/>
      <c r="O37" s="19">
        <f t="shared" si="4"/>
        <v>950</v>
      </c>
      <c r="P37" s="78">
        <f t="shared" si="5"/>
        <v>750</v>
      </c>
      <c r="R37" s="34"/>
      <c r="T37" s="19"/>
    </row>
    <row r="38" spans="1:20" x14ac:dyDescent="0.25">
      <c r="A38" t="s">
        <v>58</v>
      </c>
      <c r="B38" s="15">
        <v>50</v>
      </c>
      <c r="C38" s="21"/>
      <c r="D38" s="19"/>
      <c r="E38" s="19"/>
      <c r="F38" s="19"/>
      <c r="G38" s="19"/>
      <c r="H38" s="19"/>
      <c r="I38" s="27"/>
      <c r="J38" s="27"/>
      <c r="K38" s="61"/>
      <c r="L38" s="43"/>
      <c r="M38" s="43"/>
      <c r="N38" s="68"/>
      <c r="O38" s="19">
        <f t="shared" ref="O38:O46" si="6">SUM(C38:N38)</f>
        <v>0</v>
      </c>
      <c r="P38" s="78">
        <f t="shared" si="5"/>
        <v>50</v>
      </c>
      <c r="R38" s="34"/>
      <c r="T38" s="19"/>
    </row>
    <row r="39" spans="1:20" hidden="1" x14ac:dyDescent="0.25">
      <c r="A39" t="s">
        <v>69</v>
      </c>
      <c r="B39" s="53"/>
      <c r="C39" s="54"/>
      <c r="D39" s="22"/>
      <c r="E39" s="22"/>
      <c r="F39" s="22"/>
      <c r="G39" s="22"/>
      <c r="H39" s="22"/>
      <c r="I39" s="64"/>
      <c r="J39" s="64"/>
      <c r="K39" s="62"/>
      <c r="L39" s="71"/>
      <c r="M39" s="71"/>
      <c r="N39" s="69"/>
      <c r="O39" s="22">
        <f t="shared" si="6"/>
        <v>0</v>
      </c>
      <c r="P39" s="78">
        <f t="shared" si="5"/>
        <v>0</v>
      </c>
      <c r="T39" s="22"/>
    </row>
    <row r="40" spans="1:20" x14ac:dyDescent="0.25">
      <c r="A40" t="s">
        <v>59</v>
      </c>
      <c r="B40" s="15">
        <v>0</v>
      </c>
      <c r="C40" s="21"/>
      <c r="D40" s="19"/>
      <c r="E40" s="19"/>
      <c r="F40" s="19"/>
      <c r="G40" s="19"/>
      <c r="H40" s="19"/>
      <c r="I40" s="27"/>
      <c r="J40" s="27"/>
      <c r="K40" s="61"/>
      <c r="L40" s="43"/>
      <c r="M40" s="43"/>
      <c r="N40" s="68"/>
      <c r="O40" s="19">
        <f t="shared" si="6"/>
        <v>0</v>
      </c>
      <c r="P40" s="78">
        <f t="shared" si="5"/>
        <v>0</v>
      </c>
      <c r="R40" s="34"/>
      <c r="T40" s="19"/>
    </row>
    <row r="41" spans="1:20" x14ac:dyDescent="0.25">
      <c r="A41" t="s">
        <v>62</v>
      </c>
      <c r="B41" s="15">
        <v>4200</v>
      </c>
      <c r="C41" s="21"/>
      <c r="D41" s="19">
        <v>4200</v>
      </c>
      <c r="E41" s="19"/>
      <c r="F41" s="19"/>
      <c r="G41" s="19"/>
      <c r="H41" s="19"/>
      <c r="I41" s="27"/>
      <c r="J41" s="27"/>
      <c r="K41" s="61"/>
      <c r="L41" s="43"/>
      <c r="M41" s="43"/>
      <c r="N41" s="68"/>
      <c r="O41" s="19">
        <f t="shared" si="6"/>
        <v>4200</v>
      </c>
      <c r="P41" s="78">
        <f t="shared" si="5"/>
        <v>0</v>
      </c>
      <c r="T41" s="19"/>
    </row>
    <row r="42" spans="1:20" x14ac:dyDescent="0.25">
      <c r="A42" t="s">
        <v>61</v>
      </c>
      <c r="B42" s="15">
        <v>13152</v>
      </c>
      <c r="C42" s="21"/>
      <c r="D42" s="19"/>
      <c r="E42" s="19">
        <v>6575.92</v>
      </c>
      <c r="F42" s="19"/>
      <c r="G42" s="19"/>
      <c r="H42" s="19"/>
      <c r="I42" s="27"/>
      <c r="J42" s="27"/>
      <c r="K42" s="61"/>
      <c r="L42" s="43"/>
      <c r="M42" s="43"/>
      <c r="N42" s="68"/>
      <c r="O42" s="19">
        <f t="shared" si="6"/>
        <v>6575.92</v>
      </c>
      <c r="P42" s="78">
        <f t="shared" si="5"/>
        <v>6576.08</v>
      </c>
      <c r="R42" s="34"/>
      <c r="T42" s="19"/>
    </row>
    <row r="43" spans="1:20" x14ac:dyDescent="0.25">
      <c r="A43" t="s">
        <v>129</v>
      </c>
      <c r="B43" s="15">
        <v>1500</v>
      </c>
      <c r="C43" s="21">
        <f>2107.74</f>
        <v>2107.7399999999998</v>
      </c>
      <c r="D43" s="19"/>
      <c r="E43" s="19"/>
      <c r="F43" s="19"/>
      <c r="G43" s="19"/>
      <c r="H43" s="19"/>
      <c r="I43" s="27"/>
      <c r="J43" s="27"/>
      <c r="K43" s="61"/>
      <c r="L43" s="43"/>
      <c r="M43" s="43"/>
      <c r="N43" s="68"/>
      <c r="O43" s="19">
        <f t="shared" si="6"/>
        <v>2107.7399999999998</v>
      </c>
      <c r="P43" s="84">
        <f t="shared" si="5"/>
        <v>-607.73999999999978</v>
      </c>
      <c r="T43" s="19"/>
    </row>
    <row r="44" spans="1:20" x14ac:dyDescent="0.25">
      <c r="A44" t="s">
        <v>79</v>
      </c>
      <c r="B44" s="15">
        <v>100</v>
      </c>
      <c r="C44" s="21"/>
      <c r="D44" s="19"/>
      <c r="E44" s="19"/>
      <c r="F44" s="19"/>
      <c r="G44" s="19"/>
      <c r="H44" s="19"/>
      <c r="I44" s="27"/>
      <c r="J44" s="27"/>
      <c r="K44" s="61"/>
      <c r="L44" s="43"/>
      <c r="M44" s="43"/>
      <c r="N44" s="68"/>
      <c r="O44" s="19">
        <f t="shared" si="6"/>
        <v>0</v>
      </c>
      <c r="P44" s="84">
        <f t="shared" si="5"/>
        <v>100</v>
      </c>
      <c r="T44" s="19"/>
    </row>
    <row r="45" spans="1:20" x14ac:dyDescent="0.25">
      <c r="A45" t="s">
        <v>66</v>
      </c>
      <c r="B45" s="15">
        <v>0</v>
      </c>
      <c r="C45" s="21"/>
      <c r="D45" s="19"/>
      <c r="F45" s="19">
        <f>48.37+17.47+75</f>
        <v>140.84</v>
      </c>
      <c r="G45" s="19"/>
      <c r="H45" s="19"/>
      <c r="I45" s="27"/>
      <c r="J45" s="27"/>
      <c r="K45" s="61"/>
      <c r="L45" s="43"/>
      <c r="M45" s="43"/>
      <c r="N45" s="68"/>
      <c r="O45" s="19">
        <f t="shared" si="6"/>
        <v>140.84</v>
      </c>
      <c r="P45" s="79">
        <f t="shared" si="5"/>
        <v>-140.84</v>
      </c>
      <c r="R45" s="74"/>
      <c r="T45" s="19"/>
    </row>
    <row r="46" spans="1:20" x14ac:dyDescent="0.25">
      <c r="A46" t="s">
        <v>130</v>
      </c>
      <c r="B46" s="15">
        <v>0</v>
      </c>
      <c r="C46" s="21"/>
      <c r="D46" s="19"/>
      <c r="E46" s="19"/>
      <c r="F46" s="19"/>
      <c r="G46" s="19"/>
      <c r="H46" s="19"/>
      <c r="I46" s="27"/>
      <c r="J46" s="27"/>
      <c r="K46" s="61"/>
      <c r="L46" s="43"/>
      <c r="M46" s="43"/>
      <c r="N46" s="68"/>
      <c r="O46" s="19">
        <f t="shared" si="6"/>
        <v>0</v>
      </c>
      <c r="P46" s="79">
        <f t="shared" si="5"/>
        <v>0</v>
      </c>
      <c r="S46" s="34"/>
      <c r="T46" s="19"/>
    </row>
    <row r="47" spans="1:20" x14ac:dyDescent="0.25">
      <c r="A47" t="s">
        <v>68</v>
      </c>
      <c r="B47" s="15">
        <v>0</v>
      </c>
      <c r="C47" s="21">
        <f>225</f>
        <v>225</v>
      </c>
      <c r="D47" s="19">
        <f>400+53.44</f>
        <v>453.44</v>
      </c>
      <c r="E47" s="19">
        <f>219.65</f>
        <v>219.65</v>
      </c>
      <c r="F47" s="19"/>
      <c r="G47" s="19"/>
      <c r="H47" s="19"/>
      <c r="I47" s="61"/>
      <c r="J47" s="27"/>
      <c r="K47" s="61"/>
      <c r="L47" s="43"/>
      <c r="M47" s="43"/>
      <c r="N47" s="68"/>
      <c r="O47" s="19">
        <f>SUM(C47:N47)</f>
        <v>898.09</v>
      </c>
      <c r="P47" s="79">
        <f t="shared" si="5"/>
        <v>-898.09</v>
      </c>
      <c r="T47" s="19"/>
    </row>
    <row r="48" spans="1:20" x14ac:dyDescent="0.25">
      <c r="A48" s="23" t="s">
        <v>24</v>
      </c>
      <c r="B48" s="31">
        <f t="shared" ref="B48:P48" si="7">SUM(B17:B47)</f>
        <v>35759</v>
      </c>
      <c r="C48" s="32">
        <f>SUM(C17:C47)</f>
        <v>3807.47</v>
      </c>
      <c r="D48" s="32">
        <f t="shared" si="7"/>
        <v>5600.6699999999992</v>
      </c>
      <c r="E48" s="32">
        <f>SUM(E17:E47)</f>
        <v>7704.1299999999992</v>
      </c>
      <c r="F48" s="32">
        <f t="shared" si="7"/>
        <v>1194.9999999999998</v>
      </c>
      <c r="G48" s="32">
        <f t="shared" si="7"/>
        <v>1969.4</v>
      </c>
      <c r="H48" s="32">
        <f t="shared" si="7"/>
        <v>1357.8199999999997</v>
      </c>
      <c r="I48" s="32">
        <f t="shared" si="7"/>
        <v>0</v>
      </c>
      <c r="J48" s="32">
        <f t="shared" si="7"/>
        <v>0</v>
      </c>
      <c r="K48" s="32">
        <f t="shared" si="7"/>
        <v>0</v>
      </c>
      <c r="L48" s="32">
        <f t="shared" si="7"/>
        <v>0</v>
      </c>
      <c r="M48" s="32">
        <f t="shared" si="7"/>
        <v>0</v>
      </c>
      <c r="N48" s="32">
        <f t="shared" si="7"/>
        <v>0</v>
      </c>
      <c r="O48" s="32">
        <f t="shared" si="7"/>
        <v>21352.489999999998</v>
      </c>
      <c r="P48" s="80">
        <f t="shared" si="7"/>
        <v>13240.029999999999</v>
      </c>
      <c r="Q48" s="74"/>
      <c r="R48" s="34"/>
      <c r="S48" s="34"/>
      <c r="T48" s="33"/>
    </row>
    <row r="49" spans="1:19" x14ac:dyDescent="0.25">
      <c r="B49" s="15"/>
      <c r="C49" s="21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20"/>
      <c r="O49" s="19"/>
      <c r="P49" s="78"/>
    </row>
    <row r="50" spans="1:19" ht="23.25" x14ac:dyDescent="0.35">
      <c r="A50" s="1" t="s">
        <v>45</v>
      </c>
      <c r="B50" s="15"/>
      <c r="C50" s="21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  <c r="O50" s="19"/>
      <c r="P50" s="78"/>
    </row>
    <row r="51" spans="1:19" ht="23.25" x14ac:dyDescent="0.35">
      <c r="A51" s="1" t="s">
        <v>46</v>
      </c>
      <c r="C51" s="3"/>
      <c r="N51" s="4"/>
      <c r="O51" s="19"/>
      <c r="P51" s="78"/>
    </row>
    <row r="52" spans="1:19" x14ac:dyDescent="0.25">
      <c r="B52" s="12"/>
      <c r="C52" s="21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20"/>
      <c r="O52" s="19"/>
      <c r="P52" s="78"/>
    </row>
    <row r="53" spans="1:19" x14ac:dyDescent="0.25">
      <c r="A53" s="23" t="s">
        <v>25</v>
      </c>
      <c r="B53" s="12"/>
      <c r="C53" s="21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  <c r="O53" s="19"/>
      <c r="P53" s="78"/>
      <c r="Q53" s="2"/>
    </row>
    <row r="54" spans="1:19" x14ac:dyDescent="0.25">
      <c r="A54" t="s">
        <v>26</v>
      </c>
      <c r="B54" s="12"/>
      <c r="C54" s="21">
        <f>421.55+7+7.2+49.48+2</f>
        <v>487.23</v>
      </c>
      <c r="D54" s="19">
        <f>10.43+10.69+2</f>
        <v>23.119999999999997</v>
      </c>
      <c r="E54" s="19">
        <f>43.93+6.8+56.4+2</f>
        <v>109.13</v>
      </c>
      <c r="F54" s="19">
        <f>9.67+30+27.66+1.36</f>
        <v>68.69</v>
      </c>
      <c r="G54" s="19">
        <v>209.66</v>
      </c>
      <c r="H54" s="19">
        <v>51.68</v>
      </c>
      <c r="I54" s="19"/>
      <c r="J54" s="19"/>
      <c r="K54" s="19"/>
      <c r="L54" s="19"/>
      <c r="M54" s="19"/>
      <c r="N54" s="20"/>
      <c r="O54" s="19">
        <f t="shared" ref="O54:O55" si="8">SUM(C54:N54)</f>
        <v>949.51</v>
      </c>
      <c r="P54" s="78"/>
      <c r="Q54" s="35"/>
      <c r="R54" s="85"/>
    </row>
    <row r="55" spans="1:19" x14ac:dyDescent="0.25">
      <c r="A55" t="s">
        <v>27</v>
      </c>
      <c r="B55" s="12"/>
      <c r="C55" s="21">
        <v>0</v>
      </c>
      <c r="D55" s="19">
        <v>0</v>
      </c>
      <c r="E55" s="19">
        <v>0</v>
      </c>
      <c r="F55" s="19">
        <v>0</v>
      </c>
      <c r="G55" s="19"/>
      <c r="H55" s="19"/>
      <c r="I55" s="19"/>
      <c r="J55" s="19"/>
      <c r="K55" s="19"/>
      <c r="L55" s="19"/>
      <c r="M55" s="19"/>
      <c r="N55" s="20"/>
      <c r="O55" s="19">
        <f t="shared" si="8"/>
        <v>0</v>
      </c>
      <c r="P55" s="78"/>
      <c r="Q55" s="2"/>
    </row>
    <row r="56" spans="1:19" x14ac:dyDescent="0.25">
      <c r="A56" t="s">
        <v>28</v>
      </c>
      <c r="B56" s="36">
        <f>SUM(B54:B55)</f>
        <v>0</v>
      </c>
      <c r="C56" s="36">
        <f>C55-C54</f>
        <v>-487.23</v>
      </c>
      <c r="D56" s="36">
        <f t="shared" ref="D56:N56" si="9">D55-D54</f>
        <v>-23.119999999999997</v>
      </c>
      <c r="E56" s="36">
        <f t="shared" si="9"/>
        <v>-109.13</v>
      </c>
      <c r="F56" s="36">
        <f t="shared" si="9"/>
        <v>-68.69</v>
      </c>
      <c r="G56" s="36">
        <f t="shared" si="9"/>
        <v>-209.66</v>
      </c>
      <c r="H56" s="36">
        <f t="shared" si="9"/>
        <v>-51.68</v>
      </c>
      <c r="I56" s="36">
        <f t="shared" si="9"/>
        <v>0</v>
      </c>
      <c r="J56" s="36">
        <f t="shared" si="9"/>
        <v>0</v>
      </c>
      <c r="K56" s="36">
        <f t="shared" si="9"/>
        <v>0</v>
      </c>
      <c r="L56" s="36">
        <f t="shared" si="9"/>
        <v>0</v>
      </c>
      <c r="M56" s="36">
        <f t="shared" si="9"/>
        <v>0</v>
      </c>
      <c r="N56" s="36">
        <f t="shared" si="9"/>
        <v>0</v>
      </c>
      <c r="O56" s="36">
        <f>O55-O54</f>
        <v>-949.51</v>
      </c>
      <c r="P56" s="25">
        <f>O56</f>
        <v>-949.51</v>
      </c>
      <c r="Q56" s="75"/>
      <c r="R56" s="34"/>
    </row>
    <row r="57" spans="1:19" x14ac:dyDescent="0.25">
      <c r="B57" s="33"/>
      <c r="C57" s="21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78"/>
    </row>
    <row r="58" spans="1:19" x14ac:dyDescent="0.25">
      <c r="B58" s="33"/>
      <c r="C58" s="21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78"/>
      <c r="S58" s="34"/>
    </row>
    <row r="59" spans="1:19" x14ac:dyDescent="0.25">
      <c r="B59" s="33"/>
      <c r="C59" s="21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78"/>
    </row>
    <row r="60" spans="1:19" x14ac:dyDescent="0.25">
      <c r="B60" s="12"/>
      <c r="C60" s="21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20"/>
      <c r="O60" s="19"/>
      <c r="P60" s="78"/>
      <c r="S60" s="34"/>
    </row>
    <row r="61" spans="1:19" x14ac:dyDescent="0.25">
      <c r="A61" s="23" t="s">
        <v>29</v>
      </c>
      <c r="B61" s="12"/>
      <c r="C61" s="21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20"/>
      <c r="O61" s="19"/>
      <c r="P61" s="78"/>
      <c r="S61" s="34"/>
    </row>
    <row r="62" spans="1:19" x14ac:dyDescent="0.25">
      <c r="A62" t="s">
        <v>30</v>
      </c>
      <c r="B62" s="12"/>
      <c r="C62" s="37"/>
      <c r="D62" s="17"/>
      <c r="E62" s="17"/>
      <c r="F62" s="17"/>
      <c r="G62" s="17"/>
      <c r="H62" s="17"/>
      <c r="I62" s="18"/>
      <c r="J62" s="19"/>
      <c r="K62" s="19"/>
      <c r="L62" s="19"/>
      <c r="M62" s="19"/>
      <c r="N62" s="20"/>
      <c r="O62" s="19">
        <f t="shared" ref="O62:O63" si="10">SUM(C62:N62)</f>
        <v>0</v>
      </c>
      <c r="P62" s="78"/>
      <c r="S62" s="34"/>
    </row>
    <row r="63" spans="1:19" x14ac:dyDescent="0.25">
      <c r="A63" t="s">
        <v>31</v>
      </c>
      <c r="B63" s="12"/>
      <c r="C63" s="21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20"/>
      <c r="O63" s="19">
        <f t="shared" si="10"/>
        <v>0</v>
      </c>
      <c r="P63" s="78"/>
      <c r="Q63" s="75">
        <f>O62-O63</f>
        <v>0</v>
      </c>
      <c r="S63" s="34"/>
    </row>
    <row r="64" spans="1:19" hidden="1" x14ac:dyDescent="0.25">
      <c r="A64" t="s">
        <v>32</v>
      </c>
      <c r="B64" s="12"/>
      <c r="C64" s="21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20"/>
      <c r="O64" s="19"/>
      <c r="P64" s="78"/>
    </row>
    <row r="65" spans="1:20" hidden="1" x14ac:dyDescent="0.25">
      <c r="A65" t="s">
        <v>33</v>
      </c>
      <c r="B65" s="12"/>
      <c r="C65" s="21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20"/>
      <c r="O65" s="19"/>
      <c r="P65" s="78"/>
    </row>
    <row r="66" spans="1:20" x14ac:dyDescent="0.25">
      <c r="B66" s="26">
        <f t="shared" ref="B66:P66" si="11">SUM(B62:B65)</f>
        <v>0</v>
      </c>
      <c r="C66" s="25">
        <f>C62-C63</f>
        <v>0</v>
      </c>
      <c r="D66" s="25">
        <f t="shared" ref="D66:N66" si="12">D62-D63</f>
        <v>0</v>
      </c>
      <c r="E66" s="25">
        <f t="shared" si="12"/>
        <v>0</v>
      </c>
      <c r="F66" s="25">
        <f t="shared" si="12"/>
        <v>0</v>
      </c>
      <c r="G66" s="25">
        <f t="shared" si="12"/>
        <v>0</v>
      </c>
      <c r="H66" s="25">
        <f t="shared" si="12"/>
        <v>0</v>
      </c>
      <c r="I66" s="25">
        <f t="shared" si="12"/>
        <v>0</v>
      </c>
      <c r="J66" s="25">
        <f t="shared" si="12"/>
        <v>0</v>
      </c>
      <c r="K66" s="25">
        <f t="shared" si="12"/>
        <v>0</v>
      </c>
      <c r="L66" s="25">
        <f t="shared" si="12"/>
        <v>0</v>
      </c>
      <c r="M66" s="25">
        <f t="shared" si="12"/>
        <v>0</v>
      </c>
      <c r="N66" s="25">
        <f t="shared" si="12"/>
        <v>0</v>
      </c>
      <c r="O66" s="25">
        <f>O62-O63</f>
        <v>0</v>
      </c>
      <c r="P66" s="25">
        <f t="shared" si="11"/>
        <v>0</v>
      </c>
      <c r="S66" s="33"/>
    </row>
    <row r="68" spans="1:20" x14ac:dyDescent="0.25">
      <c r="A68" s="23" t="s">
        <v>34</v>
      </c>
      <c r="P68" s="34"/>
    </row>
    <row r="69" spans="1:20" x14ac:dyDescent="0.25">
      <c r="A69" t="s">
        <v>35</v>
      </c>
      <c r="B69" s="38"/>
      <c r="C69" s="39">
        <f>B79</f>
        <v>41923.21</v>
      </c>
      <c r="D69" s="38">
        <f>C74</f>
        <v>55280.509999999995</v>
      </c>
      <c r="E69" s="38">
        <f t="shared" ref="E69:N69" si="13">D74</f>
        <v>49694.219999999994</v>
      </c>
      <c r="F69" s="38">
        <f t="shared" si="13"/>
        <v>42043.85</v>
      </c>
      <c r="G69" s="38">
        <f t="shared" si="13"/>
        <v>40780.159999999996</v>
      </c>
      <c r="H69" s="38">
        <f t="shared" si="13"/>
        <v>38606.099999999991</v>
      </c>
      <c r="I69" s="38">
        <f t="shared" si="13"/>
        <v>55008.799999999988</v>
      </c>
      <c r="J69" s="38">
        <f t="shared" si="13"/>
        <v>55008.799999999988</v>
      </c>
      <c r="K69" s="38">
        <f t="shared" si="13"/>
        <v>55008.799999999988</v>
      </c>
      <c r="L69" s="38">
        <f t="shared" si="13"/>
        <v>55008.799999999988</v>
      </c>
      <c r="M69" s="38">
        <f>L74</f>
        <v>55008.799999999988</v>
      </c>
      <c r="N69" s="38">
        <f t="shared" si="13"/>
        <v>55008.799999999988</v>
      </c>
      <c r="O69" s="38"/>
    </row>
    <row r="70" spans="1:20" x14ac:dyDescent="0.25">
      <c r="A70" t="s">
        <v>36</v>
      </c>
      <c r="B70" s="38"/>
      <c r="C70" s="39">
        <f t="shared" ref="C70:N70" si="14">C14</f>
        <v>17652</v>
      </c>
      <c r="D70" s="39">
        <f t="shared" si="14"/>
        <v>37.5</v>
      </c>
      <c r="E70" s="39">
        <f t="shared" si="14"/>
        <v>162.88999999999999</v>
      </c>
      <c r="F70" s="39">
        <f t="shared" si="14"/>
        <v>0</v>
      </c>
      <c r="G70" s="39">
        <f t="shared" si="14"/>
        <v>5</v>
      </c>
      <c r="H70" s="39">
        <f t="shared" si="14"/>
        <v>17812.2</v>
      </c>
      <c r="I70" s="39">
        <f t="shared" si="14"/>
        <v>0</v>
      </c>
      <c r="J70" s="39">
        <f t="shared" si="14"/>
        <v>0</v>
      </c>
      <c r="K70" s="39">
        <f t="shared" si="14"/>
        <v>0</v>
      </c>
      <c r="L70" s="39">
        <f t="shared" si="14"/>
        <v>0</v>
      </c>
      <c r="M70" s="39">
        <f t="shared" si="14"/>
        <v>0</v>
      </c>
      <c r="N70" s="39">
        <f t="shared" si="14"/>
        <v>0</v>
      </c>
      <c r="O70" s="39"/>
    </row>
    <row r="71" spans="1:20" x14ac:dyDescent="0.25">
      <c r="A71" t="s">
        <v>37</v>
      </c>
      <c r="B71" s="38">
        <f>C70+C73</f>
        <v>17652</v>
      </c>
      <c r="C71" s="39">
        <f>-C48</f>
        <v>-3807.47</v>
      </c>
      <c r="D71" s="39">
        <f>-D48</f>
        <v>-5600.6699999999992</v>
      </c>
      <c r="E71" s="39">
        <f>-E48</f>
        <v>-7704.1299999999992</v>
      </c>
      <c r="F71" s="39">
        <f>-F48</f>
        <v>-1194.9999999999998</v>
      </c>
      <c r="G71" s="39">
        <f t="shared" ref="G71:N71" si="15">-G48</f>
        <v>-1969.4</v>
      </c>
      <c r="H71" s="39">
        <f t="shared" si="15"/>
        <v>-1357.8199999999997</v>
      </c>
      <c r="I71" s="39">
        <f t="shared" si="15"/>
        <v>0</v>
      </c>
      <c r="J71" s="39">
        <f t="shared" si="15"/>
        <v>0</v>
      </c>
      <c r="K71" s="39">
        <f t="shared" si="15"/>
        <v>0</v>
      </c>
      <c r="L71" s="39">
        <f t="shared" si="15"/>
        <v>0</v>
      </c>
      <c r="M71" s="39">
        <f t="shared" si="15"/>
        <v>0</v>
      </c>
      <c r="N71" s="39">
        <f t="shared" si="15"/>
        <v>0</v>
      </c>
      <c r="O71" s="39"/>
    </row>
    <row r="72" spans="1:20" x14ac:dyDescent="0.25">
      <c r="A72" t="s">
        <v>38</v>
      </c>
      <c r="B72" s="38">
        <f>-C71-C72</f>
        <v>4294.7</v>
      </c>
      <c r="C72" s="39">
        <f t="shared" ref="C72:N72" si="16">C56</f>
        <v>-487.23</v>
      </c>
      <c r="D72" s="39">
        <f t="shared" si="16"/>
        <v>-23.119999999999997</v>
      </c>
      <c r="E72" s="39">
        <f t="shared" si="16"/>
        <v>-109.13</v>
      </c>
      <c r="F72" s="39">
        <f t="shared" si="16"/>
        <v>-68.69</v>
      </c>
      <c r="G72" s="39">
        <f t="shared" si="16"/>
        <v>-209.66</v>
      </c>
      <c r="H72" s="39">
        <f t="shared" si="16"/>
        <v>-51.68</v>
      </c>
      <c r="I72" s="39">
        <f t="shared" si="16"/>
        <v>0</v>
      </c>
      <c r="J72" s="39">
        <f t="shared" si="16"/>
        <v>0</v>
      </c>
      <c r="K72" s="39">
        <f t="shared" si="16"/>
        <v>0</v>
      </c>
      <c r="L72" s="39">
        <f t="shared" si="16"/>
        <v>0</v>
      </c>
      <c r="M72" s="39">
        <f t="shared" si="16"/>
        <v>0</v>
      </c>
      <c r="N72" s="39">
        <f t="shared" si="16"/>
        <v>0</v>
      </c>
      <c r="O72" s="39"/>
    </row>
    <row r="73" spans="1:20" x14ac:dyDescent="0.25">
      <c r="A73" t="s">
        <v>39</v>
      </c>
      <c r="B73" s="38"/>
      <c r="C73" s="39">
        <f t="shared" ref="C73:N73" si="17">C62-C63</f>
        <v>0</v>
      </c>
      <c r="D73" s="39">
        <f t="shared" si="17"/>
        <v>0</v>
      </c>
      <c r="E73" s="39">
        <f t="shared" si="17"/>
        <v>0</v>
      </c>
      <c r="F73" s="39">
        <f t="shared" si="17"/>
        <v>0</v>
      </c>
      <c r="G73" s="39">
        <f t="shared" si="17"/>
        <v>0</v>
      </c>
      <c r="H73" s="39">
        <f t="shared" si="17"/>
        <v>0</v>
      </c>
      <c r="I73" s="39">
        <f t="shared" si="17"/>
        <v>0</v>
      </c>
      <c r="J73" s="39">
        <f t="shared" si="17"/>
        <v>0</v>
      </c>
      <c r="K73" s="39">
        <f t="shared" si="17"/>
        <v>0</v>
      </c>
      <c r="L73" s="39">
        <f t="shared" si="17"/>
        <v>0</v>
      </c>
      <c r="M73" s="39">
        <f t="shared" si="17"/>
        <v>0</v>
      </c>
      <c r="N73" s="39">
        <f t="shared" si="17"/>
        <v>0</v>
      </c>
      <c r="O73" s="39"/>
    </row>
    <row r="74" spans="1:20" x14ac:dyDescent="0.25">
      <c r="A74" t="s">
        <v>40</v>
      </c>
      <c r="C74" s="40">
        <f t="shared" ref="C74:N74" si="18">SUM(C69:C73)</f>
        <v>55280.509999999995</v>
      </c>
      <c r="D74" s="40">
        <f t="shared" si="18"/>
        <v>49694.219999999994</v>
      </c>
      <c r="E74" s="40">
        <f t="shared" si="18"/>
        <v>42043.85</v>
      </c>
      <c r="F74" s="40">
        <f t="shared" si="18"/>
        <v>40780.159999999996</v>
      </c>
      <c r="G74" s="40">
        <f t="shared" si="18"/>
        <v>38606.099999999991</v>
      </c>
      <c r="H74" s="40">
        <f t="shared" si="18"/>
        <v>55008.799999999988</v>
      </c>
      <c r="I74" s="40">
        <f t="shared" si="18"/>
        <v>55008.799999999988</v>
      </c>
      <c r="J74" s="40">
        <f t="shared" si="18"/>
        <v>55008.799999999988</v>
      </c>
      <c r="K74" s="40">
        <f t="shared" si="18"/>
        <v>55008.799999999988</v>
      </c>
      <c r="L74" s="40">
        <f t="shared" si="18"/>
        <v>55008.799999999988</v>
      </c>
      <c r="M74" s="40">
        <f t="shared" si="18"/>
        <v>55008.799999999988</v>
      </c>
      <c r="N74" s="40">
        <f t="shared" si="18"/>
        <v>55008.799999999988</v>
      </c>
      <c r="O74" s="40"/>
    </row>
    <row r="75" spans="1:20" x14ac:dyDescent="0.25">
      <c r="H75" s="7"/>
      <c r="Q75" s="34"/>
    </row>
    <row r="76" spans="1:20" x14ac:dyDescent="0.25">
      <c r="A76" s="41" t="s">
        <v>41</v>
      </c>
      <c r="B76" s="42" t="s">
        <v>97</v>
      </c>
      <c r="C76" s="7" t="s">
        <v>98</v>
      </c>
      <c r="D76" s="7" t="s">
        <v>99</v>
      </c>
      <c r="E76" s="7" t="s">
        <v>101</v>
      </c>
      <c r="F76" s="7" t="s">
        <v>100</v>
      </c>
      <c r="G76" s="7" t="s">
        <v>102</v>
      </c>
      <c r="H76" s="7" t="s">
        <v>103</v>
      </c>
      <c r="I76" s="7" t="s">
        <v>104</v>
      </c>
      <c r="J76" s="7" t="s">
        <v>105</v>
      </c>
      <c r="K76" s="7" t="s">
        <v>106</v>
      </c>
      <c r="L76" s="7" t="s">
        <v>107</v>
      </c>
      <c r="M76" s="7" t="s">
        <v>108</v>
      </c>
      <c r="N76" s="7" t="s">
        <v>109</v>
      </c>
      <c r="O76" s="7"/>
      <c r="Q76" s="34"/>
    </row>
    <row r="77" spans="1:20" x14ac:dyDescent="0.25">
      <c r="A77" t="s">
        <v>42</v>
      </c>
      <c r="B77" s="43">
        <v>14075.07</v>
      </c>
      <c r="C77" s="43">
        <f>27432.37</f>
        <v>27432.37</v>
      </c>
      <c r="D77" s="43">
        <v>21846.080000000002</v>
      </c>
      <c r="E77" s="43">
        <v>14032.82</v>
      </c>
      <c r="F77" s="43">
        <v>12769.13</v>
      </c>
      <c r="G77" s="43">
        <v>10595.07</v>
      </c>
      <c r="H77" s="43">
        <v>26838.91</v>
      </c>
      <c r="I77" s="43"/>
      <c r="J77" s="43"/>
      <c r="K77" s="43"/>
      <c r="L77" s="43"/>
      <c r="M77" s="43"/>
      <c r="N77" s="43"/>
      <c r="O77" s="43"/>
      <c r="Q77" s="34"/>
      <c r="T77" s="43"/>
    </row>
    <row r="78" spans="1:20" x14ac:dyDescent="0.25">
      <c r="A78" t="s">
        <v>43</v>
      </c>
      <c r="B78" s="19">
        <v>27848.14</v>
      </c>
      <c r="C78" s="19">
        <f>27848.14</f>
        <v>27848.14</v>
      </c>
      <c r="D78" s="19">
        <v>27848.14</v>
      </c>
      <c r="E78" s="19">
        <v>28011.03</v>
      </c>
      <c r="F78" s="19">
        <v>28011.03</v>
      </c>
      <c r="G78" s="19">
        <v>28011.03</v>
      </c>
      <c r="H78" s="19">
        <v>28169.89</v>
      </c>
      <c r="I78" s="19"/>
      <c r="J78" s="19"/>
      <c r="K78" s="19"/>
      <c r="L78" s="19"/>
      <c r="M78" s="19"/>
      <c r="N78" s="19"/>
      <c r="O78" s="19"/>
      <c r="T78" s="19"/>
    </row>
    <row r="79" spans="1:20" x14ac:dyDescent="0.25">
      <c r="B79" s="44">
        <f t="shared" ref="B79:O79" si="19">SUM(B77:B78)</f>
        <v>41923.21</v>
      </c>
      <c r="C79" s="45">
        <f t="shared" si="19"/>
        <v>55280.509999999995</v>
      </c>
      <c r="D79" s="45">
        <f t="shared" si="19"/>
        <v>49694.22</v>
      </c>
      <c r="E79" s="45">
        <f t="shared" si="19"/>
        <v>42043.85</v>
      </c>
      <c r="F79" s="45">
        <f t="shared" si="19"/>
        <v>40780.159999999996</v>
      </c>
      <c r="G79" s="45">
        <f t="shared" si="19"/>
        <v>38606.1</v>
      </c>
      <c r="H79" s="45">
        <f t="shared" si="19"/>
        <v>55008.800000000003</v>
      </c>
      <c r="I79" s="45">
        <f t="shared" si="19"/>
        <v>0</v>
      </c>
      <c r="J79" s="45">
        <f t="shared" si="19"/>
        <v>0</v>
      </c>
      <c r="K79" s="45">
        <f t="shared" si="19"/>
        <v>0</v>
      </c>
      <c r="L79" s="45">
        <f t="shared" si="19"/>
        <v>0</v>
      </c>
      <c r="M79" s="45">
        <f t="shared" si="19"/>
        <v>0</v>
      </c>
      <c r="N79" s="45">
        <f t="shared" si="19"/>
        <v>0</v>
      </c>
      <c r="O79" s="45">
        <f t="shared" si="19"/>
        <v>0</v>
      </c>
      <c r="Q79" s="19">
        <f>-Q14+Q48+Q56+Q63</f>
        <v>0</v>
      </c>
    </row>
    <row r="80" spans="1:20" x14ac:dyDescent="0.25">
      <c r="Q80" s="34"/>
    </row>
    <row r="81" spans="1:17" x14ac:dyDescent="0.25">
      <c r="A81" s="30" t="s">
        <v>44</v>
      </c>
      <c r="C81" s="34">
        <f t="shared" ref="C81:O81" si="20">C74-C79</f>
        <v>0</v>
      </c>
      <c r="D81" s="34">
        <f t="shared" si="20"/>
        <v>0</v>
      </c>
      <c r="E81" s="34">
        <f t="shared" si="20"/>
        <v>0</v>
      </c>
      <c r="F81" s="34">
        <f t="shared" si="20"/>
        <v>0</v>
      </c>
      <c r="G81" s="34">
        <f t="shared" si="20"/>
        <v>0</v>
      </c>
      <c r="H81" s="34">
        <f t="shared" si="20"/>
        <v>0</v>
      </c>
      <c r="I81" s="34">
        <f t="shared" si="20"/>
        <v>55008.799999999988</v>
      </c>
      <c r="J81" s="34">
        <f t="shared" si="20"/>
        <v>55008.799999999988</v>
      </c>
      <c r="K81" s="34">
        <f t="shared" si="20"/>
        <v>55008.799999999988</v>
      </c>
      <c r="L81" s="34">
        <f t="shared" si="20"/>
        <v>55008.799999999988</v>
      </c>
      <c r="M81" s="34">
        <f t="shared" si="20"/>
        <v>55008.799999999988</v>
      </c>
      <c r="N81" s="34">
        <f t="shared" si="20"/>
        <v>55008.799999999988</v>
      </c>
      <c r="O81" s="34">
        <f t="shared" si="20"/>
        <v>0</v>
      </c>
      <c r="Q81" s="34"/>
    </row>
    <row r="82" spans="1:17" x14ac:dyDescent="0.25">
      <c r="D82" s="34"/>
      <c r="N82" s="34"/>
    </row>
  </sheetData>
  <pageMargins left="0.7" right="0.7" top="0.75" bottom="0.75" header="0.3" footer="0.3"/>
  <pageSetup scale="43" orientation="landscape" horizontalDpi="4294967293" verticalDpi="4294967293" r:id="rId1"/>
  <ignoredErrors>
    <ignoredError sqref="O26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431E-CACF-48D0-97FF-AE31D880FBB5}">
  <sheetPr>
    <pageSetUpPr fitToPage="1"/>
  </sheetPr>
  <dimension ref="A1:Q44"/>
  <sheetViews>
    <sheetView topLeftCell="A14" workbookViewId="0">
      <selection activeCell="G11" sqref="G11"/>
    </sheetView>
  </sheetViews>
  <sheetFormatPr defaultRowHeight="15" x14ac:dyDescent="0.25"/>
  <cols>
    <col min="1" max="1" width="21.28515625" customWidth="1"/>
    <col min="2" max="3" width="10.5703125" customWidth="1"/>
    <col min="4" max="4" width="9.5703125" bestFit="1" customWidth="1"/>
    <col min="6" max="7" width="9.140625" customWidth="1"/>
    <col min="8" max="8" width="10.85546875" customWidth="1"/>
    <col min="9" max="14" width="9.140625" customWidth="1"/>
    <col min="15" max="15" width="13.85546875" customWidth="1"/>
  </cols>
  <sheetData>
    <row r="1" spans="1:17" ht="23.25" x14ac:dyDescent="0.35">
      <c r="A1" s="55" t="s">
        <v>45</v>
      </c>
    </row>
    <row r="2" spans="1:17" ht="23.25" x14ac:dyDescent="0.35">
      <c r="A2" s="55" t="s">
        <v>110</v>
      </c>
    </row>
    <row r="4" spans="1:17" x14ac:dyDescent="0.25">
      <c r="B4" s="7" t="s">
        <v>71</v>
      </c>
      <c r="O4" s="7" t="s">
        <v>72</v>
      </c>
    </row>
    <row r="5" spans="1:17" x14ac:dyDescent="0.25">
      <c r="B5" s="7" t="s">
        <v>111</v>
      </c>
      <c r="C5" s="7" t="s">
        <v>73</v>
      </c>
      <c r="D5" s="7" t="s">
        <v>3</v>
      </c>
      <c r="E5" s="7" t="s">
        <v>4</v>
      </c>
      <c r="F5" s="7" t="s">
        <v>5</v>
      </c>
      <c r="G5" s="7" t="s">
        <v>74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75</v>
      </c>
      <c r="O5" s="7" t="s">
        <v>76</v>
      </c>
    </row>
    <row r="8" spans="1:17" x14ac:dyDescent="0.25">
      <c r="A8" s="23" t="s">
        <v>77</v>
      </c>
    </row>
    <row r="9" spans="1:17" x14ac:dyDescent="0.25">
      <c r="C9" s="7" t="s">
        <v>73</v>
      </c>
      <c r="D9" s="7" t="s">
        <v>3</v>
      </c>
      <c r="E9" s="7" t="s">
        <v>135</v>
      </c>
      <c r="F9" s="7" t="s">
        <v>136</v>
      </c>
      <c r="G9" s="7" t="s">
        <v>74</v>
      </c>
      <c r="H9" s="7" t="s">
        <v>137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75</v>
      </c>
      <c r="O9" s="38"/>
    </row>
    <row r="10" spans="1:17" x14ac:dyDescent="0.25">
      <c r="A10" t="s">
        <v>78</v>
      </c>
      <c r="B10" s="38">
        <v>79.28</v>
      </c>
      <c r="C10" s="38">
        <f>22.5</f>
        <v>22.5</v>
      </c>
      <c r="D10" s="38">
        <v>37.5</v>
      </c>
      <c r="F10" s="39"/>
      <c r="G10" s="38">
        <v>5</v>
      </c>
      <c r="H10" s="38"/>
      <c r="I10" s="38"/>
      <c r="J10" s="38"/>
      <c r="K10" s="38"/>
      <c r="L10" s="38"/>
      <c r="M10" s="38"/>
      <c r="N10" s="38"/>
      <c r="O10" s="38">
        <f>SUM(B10:N10)</f>
        <v>144.28</v>
      </c>
      <c r="Q10" s="76"/>
    </row>
    <row r="11" spans="1:17" ht="14.25" customHeight="1" x14ac:dyDescent="0.25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1:17" x14ac:dyDescent="0.25">
      <c r="A12" t="s">
        <v>79</v>
      </c>
      <c r="B12" s="38">
        <v>438.25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>
        <f>SUM(B12:N12)</f>
        <v>438.25</v>
      </c>
    </row>
    <row r="13" spans="1:17" x14ac:dyDescent="0.25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17" x14ac:dyDescent="0.25">
      <c r="A14" t="s">
        <v>80</v>
      </c>
      <c r="B14" s="38">
        <v>5720</v>
      </c>
      <c r="C14" s="38"/>
      <c r="D14" s="38"/>
      <c r="E14" s="39"/>
      <c r="F14" s="38"/>
      <c r="G14" s="38"/>
      <c r="H14" s="38"/>
      <c r="I14" s="38"/>
      <c r="J14" s="38"/>
      <c r="K14" s="38"/>
      <c r="L14" s="38"/>
      <c r="M14" s="38"/>
      <c r="N14" s="38"/>
      <c r="O14" s="38">
        <f>SUM(B14:N14)</f>
        <v>5720</v>
      </c>
    </row>
    <row r="15" spans="1:17" x14ac:dyDescent="0.25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7" x14ac:dyDescent="0.25">
      <c r="A16" t="s">
        <v>81</v>
      </c>
      <c r="B16" s="38">
        <v>7017.75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>
        <f>SUM(B16:N16)</f>
        <v>7017.75</v>
      </c>
    </row>
    <row r="17" spans="1:15" x14ac:dyDescent="0.25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x14ac:dyDescent="0.25">
      <c r="A18" t="s">
        <v>82</v>
      </c>
      <c r="B18" s="38">
        <v>420.78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>
        <f>SUM(B18:N18)</f>
        <v>420.78</v>
      </c>
    </row>
    <row r="19" spans="1:15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5" x14ac:dyDescent="0.25">
      <c r="A20" t="s">
        <v>83</v>
      </c>
      <c r="B20" s="38">
        <v>1000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f>SUM(B20:N20)</f>
        <v>1000</v>
      </c>
    </row>
    <row r="21" spans="1:15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15" x14ac:dyDescent="0.25">
      <c r="A22" t="s">
        <v>91</v>
      </c>
      <c r="B22" s="38">
        <f>784.13+500</f>
        <v>1284.1300000000001</v>
      </c>
      <c r="C22" s="38">
        <v>-225</v>
      </c>
      <c r="D22" s="38">
        <f>-400+-53.44</f>
        <v>-453.44</v>
      </c>
      <c r="E22" s="38">
        <f>-219.55-58.04</f>
        <v>-277.59000000000003</v>
      </c>
      <c r="F22" s="38"/>
      <c r="G22" s="38"/>
      <c r="H22" s="38"/>
      <c r="I22" s="38"/>
      <c r="J22" s="38"/>
      <c r="K22" s="38"/>
      <c r="L22" s="38"/>
      <c r="M22" s="38"/>
      <c r="N22" s="38"/>
      <c r="O22" s="38">
        <f>SUM(B22:N22)</f>
        <v>328.1</v>
      </c>
    </row>
    <row r="23" spans="1:15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5" x14ac:dyDescent="0.25">
      <c r="A24" t="s">
        <v>84</v>
      </c>
      <c r="B24" s="38">
        <v>5221.09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>
        <f>SUM(B24:N24)</f>
        <v>5221.09</v>
      </c>
    </row>
    <row r="25" spans="1:15" x14ac:dyDescent="0.25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 x14ac:dyDescent="0.25">
      <c r="A26" s="23" t="s">
        <v>85</v>
      </c>
      <c r="B26" s="56">
        <f>SUM(B10:B25)</f>
        <v>21181.279999999999</v>
      </c>
      <c r="C26" s="56">
        <f t="shared" ref="C26:O26" si="0">SUM(C10:C25)</f>
        <v>-202.5</v>
      </c>
      <c r="D26" s="56">
        <f t="shared" si="0"/>
        <v>-415.94</v>
      </c>
      <c r="E26" s="56">
        <f>SUM(E11:E25)</f>
        <v>-277.59000000000003</v>
      </c>
      <c r="F26" s="56">
        <f t="shared" si="0"/>
        <v>0</v>
      </c>
      <c r="G26" s="56">
        <f t="shared" si="0"/>
        <v>5</v>
      </c>
      <c r="H26" s="56">
        <f t="shared" si="0"/>
        <v>0</v>
      </c>
      <c r="I26" s="56">
        <f t="shared" si="0"/>
        <v>0</v>
      </c>
      <c r="J26" s="56">
        <f t="shared" si="0"/>
        <v>0</v>
      </c>
      <c r="K26" s="56">
        <f t="shared" si="0"/>
        <v>0</v>
      </c>
      <c r="L26" s="56">
        <f t="shared" si="0"/>
        <v>0</v>
      </c>
      <c r="M26" s="56">
        <f t="shared" si="0"/>
        <v>0</v>
      </c>
      <c r="N26" s="56">
        <f t="shared" si="0"/>
        <v>0</v>
      </c>
      <c r="O26" s="56">
        <f t="shared" si="0"/>
        <v>20290.25</v>
      </c>
    </row>
    <row r="27" spans="1:15" x14ac:dyDescent="0.25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5" x14ac:dyDescent="0.25">
      <c r="A28" s="23" t="s">
        <v>86</v>
      </c>
      <c r="B28" s="38">
        <f>21241.93-500</f>
        <v>20741.93</v>
      </c>
      <c r="C28" s="38"/>
      <c r="D28" s="39">
        <f>20741.93+420.78+2218.17</f>
        <v>23380.879999999997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>
        <f>SUM(B28:N28)</f>
        <v>44122.81</v>
      </c>
    </row>
    <row r="29" spans="1:15" x14ac:dyDescent="0.25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15.75" thickBot="1" x14ac:dyDescent="0.3">
      <c r="A30" s="23" t="s">
        <v>87</v>
      </c>
      <c r="B30" s="57">
        <f>SUM(B26:B29)</f>
        <v>41923.21</v>
      </c>
      <c r="C30" s="57">
        <f t="shared" ref="C30:O30" si="1">SUM(C26:C29)</f>
        <v>-202.5</v>
      </c>
      <c r="D30" s="57">
        <f t="shared" si="1"/>
        <v>22964.94</v>
      </c>
      <c r="E30" s="57">
        <f t="shared" si="1"/>
        <v>-277.59000000000003</v>
      </c>
      <c r="F30" s="57">
        <f t="shared" si="1"/>
        <v>0</v>
      </c>
      <c r="G30" s="57">
        <f t="shared" si="1"/>
        <v>5</v>
      </c>
      <c r="H30" s="57">
        <f t="shared" si="1"/>
        <v>0</v>
      </c>
      <c r="I30" s="57">
        <f t="shared" si="1"/>
        <v>0</v>
      </c>
      <c r="J30" s="57">
        <f t="shared" si="1"/>
        <v>0</v>
      </c>
      <c r="K30" s="57">
        <f t="shared" si="1"/>
        <v>0</v>
      </c>
      <c r="L30" s="57">
        <f t="shared" si="1"/>
        <v>0</v>
      </c>
      <c r="M30" s="57">
        <f t="shared" si="1"/>
        <v>0</v>
      </c>
      <c r="N30" s="57">
        <f t="shared" si="1"/>
        <v>0</v>
      </c>
      <c r="O30" s="57">
        <f t="shared" si="1"/>
        <v>64413.06</v>
      </c>
    </row>
    <row r="31" spans="1:15" ht="15.75" thickTop="1" x14ac:dyDescent="0.25">
      <c r="N31" s="38"/>
    </row>
    <row r="32" spans="1:15" x14ac:dyDescent="0.25">
      <c r="B32" s="7" t="s">
        <v>88</v>
      </c>
      <c r="N32" s="30"/>
      <c r="O32" s="19"/>
    </row>
    <row r="33" spans="2:15" x14ac:dyDescent="0.25">
      <c r="B33" s="7" t="s">
        <v>89</v>
      </c>
    </row>
    <row r="34" spans="2:15" x14ac:dyDescent="0.25">
      <c r="H34" s="30"/>
      <c r="N34" s="30"/>
      <c r="O34" s="18"/>
    </row>
    <row r="35" spans="2:15" x14ac:dyDescent="0.25">
      <c r="H35" s="77"/>
      <c r="O35" s="18"/>
    </row>
    <row r="36" spans="2:15" x14ac:dyDescent="0.25">
      <c r="H36" s="77"/>
      <c r="O36" s="34"/>
    </row>
    <row r="37" spans="2:15" x14ac:dyDescent="0.25">
      <c r="H37" s="83"/>
      <c r="O37" s="34"/>
    </row>
    <row r="38" spans="2:15" x14ac:dyDescent="0.25">
      <c r="H38" s="83"/>
      <c r="O38" s="34"/>
    </row>
    <row r="39" spans="2:15" x14ac:dyDescent="0.25">
      <c r="H39" s="83"/>
      <c r="O39" s="34"/>
    </row>
    <row r="40" spans="2:15" x14ac:dyDescent="0.25">
      <c r="H40" s="33"/>
    </row>
    <row r="41" spans="2:15" x14ac:dyDescent="0.25">
      <c r="H41" s="33"/>
    </row>
    <row r="42" spans="2:15" x14ac:dyDescent="0.25">
      <c r="H42" s="33"/>
    </row>
    <row r="43" spans="2:15" x14ac:dyDescent="0.25">
      <c r="H43" s="33"/>
    </row>
    <row r="44" spans="2:15" x14ac:dyDescent="0.25">
      <c r="H44" s="33">
        <f>SUM(H38:H43)</f>
        <v>0</v>
      </c>
      <c r="J44" s="76"/>
      <c r="L44" s="76"/>
    </row>
  </sheetData>
  <pageMargins left="0.7" right="0.7" top="0.75" bottom="0.75" header="0.3" footer="0.3"/>
  <pageSetup scale="76" orientation="landscape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5C8CE-04F4-463B-AAB6-53D519F8D8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A23E9-B79F-4414-821F-A4777E8B66B0}">
  <dimension ref="A1:G44"/>
  <sheetViews>
    <sheetView workbookViewId="0"/>
  </sheetViews>
  <sheetFormatPr defaultRowHeight="15" x14ac:dyDescent="0.25"/>
  <cols>
    <col min="1" max="1" width="6" customWidth="1"/>
    <col min="6" max="7" width="9.5703125" bestFit="1" customWidth="1"/>
  </cols>
  <sheetData>
    <row r="1" spans="1:7" ht="18.75" x14ac:dyDescent="0.3">
      <c r="A1" s="82"/>
    </row>
    <row r="2" spans="1:7" x14ac:dyDescent="0.25">
      <c r="F2" s="7"/>
      <c r="G2" s="7"/>
    </row>
    <row r="3" spans="1:7" x14ac:dyDescent="0.25">
      <c r="B3" s="23"/>
    </row>
    <row r="4" spans="1:7" x14ac:dyDescent="0.25">
      <c r="F4" s="19"/>
    </row>
    <row r="5" spans="1:7" x14ac:dyDescent="0.25">
      <c r="F5" s="19"/>
    </row>
    <row r="6" spans="1:7" x14ac:dyDescent="0.25">
      <c r="F6" s="33"/>
    </row>
    <row r="7" spans="1:7" x14ac:dyDescent="0.25">
      <c r="G7" s="34"/>
    </row>
    <row r="9" spans="1:7" x14ac:dyDescent="0.25">
      <c r="B9" s="23"/>
    </row>
    <row r="10" spans="1:7" x14ac:dyDescent="0.25">
      <c r="F10" s="33"/>
      <c r="G10" s="19"/>
    </row>
    <row r="11" spans="1:7" x14ac:dyDescent="0.25">
      <c r="F11" s="33"/>
      <c r="G11" s="19"/>
    </row>
    <row r="12" spans="1:7" x14ac:dyDescent="0.25">
      <c r="F12" s="33"/>
      <c r="G12" s="19"/>
    </row>
    <row r="13" spans="1:7" x14ac:dyDescent="0.25">
      <c r="F13" s="33"/>
      <c r="G13" s="19"/>
    </row>
    <row r="14" spans="1:7" x14ac:dyDescent="0.25">
      <c r="F14" s="33"/>
      <c r="G14" s="19"/>
    </row>
    <row r="15" spans="1:7" x14ac:dyDescent="0.25">
      <c r="F15" s="33"/>
      <c r="G15" s="19"/>
    </row>
    <row r="16" spans="1:7" x14ac:dyDescent="0.25">
      <c r="F16" s="33"/>
      <c r="G16" s="19"/>
    </row>
    <row r="17" spans="2:7" x14ac:dyDescent="0.25">
      <c r="F17" s="33"/>
      <c r="G17" s="19"/>
    </row>
    <row r="18" spans="2:7" x14ac:dyDescent="0.25">
      <c r="F18" s="33"/>
      <c r="G18" s="19"/>
    </row>
    <row r="19" spans="2:7" x14ac:dyDescent="0.25">
      <c r="F19" s="33"/>
      <c r="G19" s="19"/>
    </row>
    <row r="20" spans="2:7" x14ac:dyDescent="0.25">
      <c r="F20" s="33"/>
      <c r="G20" s="19"/>
    </row>
    <row r="21" spans="2:7" x14ac:dyDescent="0.25">
      <c r="F21" s="33"/>
      <c r="G21" s="19"/>
    </row>
    <row r="22" spans="2:7" x14ac:dyDescent="0.25">
      <c r="F22" s="33"/>
      <c r="G22" s="19"/>
    </row>
    <row r="23" spans="2:7" x14ac:dyDescent="0.25">
      <c r="F23" s="33"/>
      <c r="G23" s="19"/>
    </row>
    <row r="24" spans="2:7" x14ac:dyDescent="0.25">
      <c r="F24" s="34"/>
      <c r="G24" s="19"/>
    </row>
    <row r="26" spans="2:7" x14ac:dyDescent="0.25">
      <c r="B26" s="23"/>
    </row>
    <row r="27" spans="2:7" x14ac:dyDescent="0.25">
      <c r="F27" s="33"/>
    </row>
    <row r="28" spans="2:7" x14ac:dyDescent="0.25">
      <c r="F28" s="33"/>
    </row>
    <row r="29" spans="2:7" x14ac:dyDescent="0.25">
      <c r="F29" s="33"/>
    </row>
    <row r="30" spans="2:7" x14ac:dyDescent="0.25">
      <c r="F30" s="33"/>
    </row>
    <row r="31" spans="2:7" x14ac:dyDescent="0.25">
      <c r="F31" s="33"/>
    </row>
    <row r="32" spans="2:7" x14ac:dyDescent="0.25">
      <c r="F32" s="33"/>
    </row>
    <row r="33" spans="6:7" x14ac:dyDescent="0.25">
      <c r="F33" s="33"/>
    </row>
    <row r="34" spans="6:7" x14ac:dyDescent="0.25">
      <c r="F34" s="33"/>
    </row>
    <row r="35" spans="6:7" x14ac:dyDescent="0.25">
      <c r="F35" s="34"/>
      <c r="G35" s="34"/>
    </row>
    <row r="37" spans="6:7" x14ac:dyDescent="0.25">
      <c r="G37" s="34"/>
    </row>
    <row r="39" spans="6:7" x14ac:dyDescent="0.25">
      <c r="G39" s="44"/>
    </row>
    <row r="41" spans="6:7" x14ac:dyDescent="0.25">
      <c r="G41" s="19"/>
    </row>
    <row r="43" spans="6:7" ht="15.75" thickBot="1" x14ac:dyDescent="0.3">
      <c r="G43" s="81"/>
    </row>
    <row r="44" spans="6:7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07A5-CCCC-42A0-A833-7069F9F4619C}">
  <sheetPr>
    <pageSetUpPr fitToPage="1"/>
  </sheetPr>
  <dimension ref="A1:M89"/>
  <sheetViews>
    <sheetView topLeftCell="A21" workbookViewId="0">
      <selection activeCell="C39" sqref="C39"/>
    </sheetView>
  </sheetViews>
  <sheetFormatPr defaultRowHeight="15" x14ac:dyDescent="0.25"/>
  <cols>
    <col min="1" max="1" width="30" customWidth="1"/>
    <col min="3" max="3" width="9.5703125" style="47" bestFit="1" customWidth="1"/>
    <col min="4" max="4" width="9.5703125" bestFit="1" customWidth="1"/>
    <col min="8" max="8" width="9.5703125" bestFit="1" customWidth="1"/>
    <col min="13" max="13" width="9.5703125" bestFit="1" customWidth="1"/>
  </cols>
  <sheetData>
    <row r="1" spans="1:13" ht="18.75" x14ac:dyDescent="0.3">
      <c r="A1" s="46" t="s">
        <v>112</v>
      </c>
    </row>
    <row r="3" spans="1:13" x14ac:dyDescent="0.25">
      <c r="A3" s="23" t="s">
        <v>113</v>
      </c>
      <c r="H3" t="s">
        <v>63</v>
      </c>
    </row>
    <row r="4" spans="1:13" x14ac:dyDescent="0.25">
      <c r="A4" t="s">
        <v>131</v>
      </c>
      <c r="C4" s="87">
        <v>421.55</v>
      </c>
    </row>
    <row r="5" spans="1:13" x14ac:dyDescent="0.25">
      <c r="A5" t="s">
        <v>132</v>
      </c>
      <c r="C5" s="87">
        <v>7</v>
      </c>
      <c r="E5" s="2"/>
      <c r="M5" s="7"/>
    </row>
    <row r="6" spans="1:13" x14ac:dyDescent="0.25">
      <c r="A6" t="s">
        <v>132</v>
      </c>
      <c r="C6" s="87">
        <v>7.2</v>
      </c>
      <c r="E6" s="59"/>
    </row>
    <row r="7" spans="1:13" x14ac:dyDescent="0.25">
      <c r="A7" t="s">
        <v>133</v>
      </c>
      <c r="C7" s="87">
        <v>49.48</v>
      </c>
      <c r="K7" s="58"/>
      <c r="M7" s="19"/>
    </row>
    <row r="8" spans="1:13" x14ac:dyDescent="0.25">
      <c r="A8" t="s">
        <v>134</v>
      </c>
      <c r="C8" s="87">
        <v>2</v>
      </c>
      <c r="M8" s="19"/>
    </row>
    <row r="9" spans="1:13" x14ac:dyDescent="0.25">
      <c r="C9" s="88"/>
      <c r="D9" s="34">
        <f>SUM(C4:C8)</f>
        <v>487.23</v>
      </c>
      <c r="E9" t="s">
        <v>64</v>
      </c>
      <c r="H9" s="34">
        <f>'Monthly monitoring &amp; reconcilia'!C54-D9</f>
        <v>0</v>
      </c>
      <c r="I9" s="34"/>
      <c r="M9" s="19"/>
    </row>
    <row r="10" spans="1:13" x14ac:dyDescent="0.25">
      <c r="A10" s="23" t="s">
        <v>114</v>
      </c>
      <c r="M10" s="33"/>
    </row>
    <row r="11" spans="1:13" x14ac:dyDescent="0.25">
      <c r="A11" t="s">
        <v>139</v>
      </c>
      <c r="C11" s="89">
        <v>1.25</v>
      </c>
      <c r="M11" s="19"/>
    </row>
    <row r="12" spans="1:13" x14ac:dyDescent="0.25">
      <c r="A12" t="s">
        <v>139</v>
      </c>
      <c r="C12" s="89">
        <v>6.05</v>
      </c>
      <c r="M12" s="19"/>
    </row>
    <row r="13" spans="1:13" x14ac:dyDescent="0.25">
      <c r="A13" t="s">
        <v>140</v>
      </c>
      <c r="C13" s="89">
        <v>3.13</v>
      </c>
    </row>
    <row r="14" spans="1:13" x14ac:dyDescent="0.25">
      <c r="A14" t="s">
        <v>141</v>
      </c>
      <c r="C14" s="89">
        <v>10.69</v>
      </c>
    </row>
    <row r="15" spans="1:13" x14ac:dyDescent="0.25">
      <c r="A15" t="s">
        <v>134</v>
      </c>
      <c r="C15" s="89">
        <v>2</v>
      </c>
    </row>
    <row r="16" spans="1:13" x14ac:dyDescent="0.25">
      <c r="C16" s="88"/>
      <c r="D16" s="34">
        <f>SUM(C11:C15)</f>
        <v>23.119999999999997</v>
      </c>
      <c r="E16" t="s">
        <v>64</v>
      </c>
      <c r="H16" s="34">
        <f>'Monthly monitoring &amp; reconcilia'!D54-D16</f>
        <v>0</v>
      </c>
      <c r="I16" s="34"/>
      <c r="M16" s="19"/>
    </row>
    <row r="17" spans="1:9" x14ac:dyDescent="0.25">
      <c r="A17" s="23" t="s">
        <v>115</v>
      </c>
    </row>
    <row r="18" spans="1:9" x14ac:dyDescent="0.25">
      <c r="A18" t="s">
        <v>142</v>
      </c>
      <c r="C18" s="89">
        <v>6.8</v>
      </c>
    </row>
    <row r="19" spans="1:9" x14ac:dyDescent="0.25">
      <c r="A19" t="s">
        <v>143</v>
      </c>
      <c r="C19" s="47">
        <v>43.93</v>
      </c>
    </row>
    <row r="20" spans="1:9" x14ac:dyDescent="0.25">
      <c r="A20" t="s">
        <v>144</v>
      </c>
      <c r="C20" s="47">
        <v>56.4</v>
      </c>
    </row>
    <row r="21" spans="1:9" x14ac:dyDescent="0.25">
      <c r="A21" t="s">
        <v>134</v>
      </c>
      <c r="C21" s="47">
        <v>2</v>
      </c>
    </row>
    <row r="22" spans="1:9" x14ac:dyDescent="0.25">
      <c r="C22" s="88"/>
      <c r="D22" s="34">
        <f>SUM(C18:C21)</f>
        <v>109.13</v>
      </c>
      <c r="E22" t="s">
        <v>64</v>
      </c>
      <c r="H22" s="34">
        <f>'Monthly monitoring &amp; reconcilia'!E54-D22</f>
        <v>0</v>
      </c>
      <c r="I22" s="34"/>
    </row>
    <row r="23" spans="1:9" x14ac:dyDescent="0.25">
      <c r="D23" s="34"/>
      <c r="H23" s="34"/>
      <c r="I23" s="34"/>
    </row>
    <row r="24" spans="1:9" x14ac:dyDescent="0.25">
      <c r="A24" s="23" t="s">
        <v>116</v>
      </c>
    </row>
    <row r="25" spans="1:9" x14ac:dyDescent="0.25">
      <c r="A25" t="s">
        <v>143</v>
      </c>
      <c r="C25" s="89">
        <v>9.67</v>
      </c>
    </row>
    <row r="26" spans="1:9" x14ac:dyDescent="0.25">
      <c r="A26" t="s">
        <v>145</v>
      </c>
      <c r="C26" s="89">
        <v>30</v>
      </c>
    </row>
    <row r="27" spans="1:9" x14ac:dyDescent="0.25">
      <c r="A27" t="s">
        <v>146</v>
      </c>
      <c r="C27" s="89">
        <v>27.66</v>
      </c>
    </row>
    <row r="28" spans="1:9" x14ac:dyDescent="0.25">
      <c r="A28" t="s">
        <v>134</v>
      </c>
      <c r="C28" s="89">
        <v>1.36</v>
      </c>
    </row>
    <row r="29" spans="1:9" x14ac:dyDescent="0.25">
      <c r="C29" s="88"/>
      <c r="D29" s="19">
        <f>SUM(C25:C28)</f>
        <v>68.69</v>
      </c>
      <c r="E29" t="s">
        <v>64</v>
      </c>
      <c r="H29" s="34">
        <f>'Monthly monitoring &amp; reconcilia'!F54-D29</f>
        <v>0</v>
      </c>
      <c r="I29" s="34"/>
    </row>
    <row r="30" spans="1:9" x14ac:dyDescent="0.25">
      <c r="D30" s="19"/>
      <c r="H30" s="34"/>
      <c r="I30" s="34"/>
    </row>
    <row r="31" spans="1:9" x14ac:dyDescent="0.25">
      <c r="A31" s="23" t="s">
        <v>117</v>
      </c>
    </row>
    <row r="32" spans="1:9" x14ac:dyDescent="0.25">
      <c r="A32" t="s">
        <v>145</v>
      </c>
      <c r="C32" s="89">
        <v>110</v>
      </c>
    </row>
    <row r="33" spans="1:9" x14ac:dyDescent="0.25">
      <c r="A33" t="s">
        <v>147</v>
      </c>
      <c r="C33" s="89">
        <v>97.98</v>
      </c>
    </row>
    <row r="34" spans="1:9" x14ac:dyDescent="0.25">
      <c r="A34" t="s">
        <v>134</v>
      </c>
      <c r="C34" s="89">
        <v>1.68</v>
      </c>
    </row>
    <row r="35" spans="1:9" x14ac:dyDescent="0.25">
      <c r="C35" s="88"/>
      <c r="D35" s="19">
        <f>SUM(C32:C34)</f>
        <v>209.66000000000003</v>
      </c>
      <c r="E35" t="s">
        <v>64</v>
      </c>
      <c r="H35" s="34">
        <f>'Monthly monitoring &amp; reconcilia'!G54-D35</f>
        <v>0</v>
      </c>
      <c r="I35" s="34"/>
    </row>
    <row r="37" spans="1:9" x14ac:dyDescent="0.25">
      <c r="A37" s="23" t="s">
        <v>118</v>
      </c>
    </row>
    <row r="38" spans="1:9" x14ac:dyDescent="0.25">
      <c r="A38" t="s">
        <v>145</v>
      </c>
      <c r="C38" s="89">
        <v>50</v>
      </c>
    </row>
    <row r="39" spans="1:9" x14ac:dyDescent="0.25">
      <c r="A39" t="s">
        <v>134</v>
      </c>
      <c r="C39" s="90">
        <v>1.68</v>
      </c>
    </row>
    <row r="40" spans="1:9" x14ac:dyDescent="0.25">
      <c r="C40" s="89"/>
    </row>
    <row r="41" spans="1:9" x14ac:dyDescent="0.25">
      <c r="D41" s="34">
        <f>SUM(C38:C40)</f>
        <v>51.68</v>
      </c>
      <c r="E41" t="s">
        <v>64</v>
      </c>
      <c r="H41" s="34">
        <f>'Monthly monitoring &amp; reconcilia'!H54-D41</f>
        <v>0</v>
      </c>
      <c r="I41" s="34"/>
    </row>
    <row r="43" spans="1:9" x14ac:dyDescent="0.25">
      <c r="A43" s="23" t="s">
        <v>119</v>
      </c>
    </row>
    <row r="44" spans="1:9" x14ac:dyDescent="0.25">
      <c r="B44" s="19"/>
      <c r="C44" s="89"/>
    </row>
    <row r="45" spans="1:9" x14ac:dyDescent="0.25">
      <c r="C45" s="89"/>
    </row>
    <row r="46" spans="1:9" x14ac:dyDescent="0.25">
      <c r="C46" s="89"/>
    </row>
    <row r="47" spans="1:9" x14ac:dyDescent="0.25">
      <c r="C47" s="89"/>
    </row>
    <row r="48" spans="1:9" x14ac:dyDescent="0.25">
      <c r="A48" s="58"/>
      <c r="C48" s="89"/>
    </row>
    <row r="49" spans="1:11" x14ac:dyDescent="0.25">
      <c r="C49" s="89"/>
    </row>
    <row r="50" spans="1:11" x14ac:dyDescent="0.25">
      <c r="C50" s="88"/>
      <c r="D50" s="47">
        <f>SUM(C44:C49)</f>
        <v>0</v>
      </c>
      <c r="E50" t="s">
        <v>64</v>
      </c>
      <c r="H50" s="34">
        <f>'Monthly monitoring &amp; reconcilia'!I54-D50</f>
        <v>0</v>
      </c>
      <c r="I50" s="34"/>
    </row>
    <row r="52" spans="1:11" x14ac:dyDescent="0.25">
      <c r="A52" s="23" t="s">
        <v>120</v>
      </c>
    </row>
    <row r="53" spans="1:11" x14ac:dyDescent="0.25">
      <c r="A53" s="48"/>
      <c r="C53" s="86"/>
    </row>
    <row r="54" spans="1:11" x14ac:dyDescent="0.25">
      <c r="C54" s="86"/>
    </row>
    <row r="55" spans="1:11" x14ac:dyDescent="0.25">
      <c r="A55" s="23"/>
      <c r="C55" s="86"/>
    </row>
    <row r="56" spans="1:11" x14ac:dyDescent="0.25">
      <c r="D56" s="34">
        <f>SUM(C53:C55)</f>
        <v>0</v>
      </c>
      <c r="E56" t="s">
        <v>64</v>
      </c>
      <c r="H56" s="34">
        <f>'Monthly monitoring &amp; reconcilia'!J54-D56</f>
        <v>0</v>
      </c>
      <c r="I56" s="34"/>
    </row>
    <row r="58" spans="1:11" x14ac:dyDescent="0.25">
      <c r="A58" s="23" t="s">
        <v>121</v>
      </c>
    </row>
    <row r="59" spans="1:11" x14ac:dyDescent="0.25">
      <c r="A59" s="48"/>
    </row>
    <row r="60" spans="1:11" x14ac:dyDescent="0.25">
      <c r="A60" s="48"/>
    </row>
    <row r="61" spans="1:11" x14ac:dyDescent="0.25">
      <c r="C61" s="89"/>
    </row>
    <row r="62" spans="1:11" x14ac:dyDescent="0.25">
      <c r="A62" s="23"/>
      <c r="C62" s="90"/>
    </row>
    <row r="63" spans="1:11" x14ac:dyDescent="0.25">
      <c r="D63" s="34">
        <f>SUM(C59:C62)</f>
        <v>0</v>
      </c>
      <c r="E63" t="s">
        <v>64</v>
      </c>
      <c r="H63" s="34">
        <f>'Monthly monitoring &amp; reconcilia'!K54-D63</f>
        <v>0</v>
      </c>
      <c r="I63" s="34"/>
      <c r="K63" s="34">
        <f>SUM(I9:I63)</f>
        <v>0</v>
      </c>
    </row>
    <row r="64" spans="1:11" x14ac:dyDescent="0.25">
      <c r="D64" s="34"/>
    </row>
    <row r="65" spans="1:11" x14ac:dyDescent="0.25">
      <c r="A65" s="23" t="s">
        <v>122</v>
      </c>
      <c r="D65" s="34"/>
    </row>
    <row r="66" spans="1:11" x14ac:dyDescent="0.25">
      <c r="A66" s="23"/>
      <c r="C66" s="89"/>
      <c r="D66" s="34"/>
    </row>
    <row r="67" spans="1:11" x14ac:dyDescent="0.25">
      <c r="A67" s="23"/>
      <c r="C67" s="89"/>
      <c r="D67" s="34"/>
    </row>
    <row r="68" spans="1:11" x14ac:dyDescent="0.25">
      <c r="C68" s="90"/>
      <c r="D68" s="34"/>
    </row>
    <row r="69" spans="1:11" x14ac:dyDescent="0.25">
      <c r="D69" s="34">
        <f>SUM(C66:C68)</f>
        <v>0</v>
      </c>
      <c r="E69" t="s">
        <v>64</v>
      </c>
      <c r="H69" s="34">
        <f>'Monthly monitoring &amp; reconcilia'!L54-D69</f>
        <v>0</v>
      </c>
      <c r="I69" s="19"/>
      <c r="K69" s="34">
        <f>SUM(I9:I69)</f>
        <v>0</v>
      </c>
    </row>
    <row r="71" spans="1:11" x14ac:dyDescent="0.25">
      <c r="A71" s="23" t="s">
        <v>123</v>
      </c>
      <c r="D71" s="34"/>
      <c r="I71" s="49"/>
    </row>
    <row r="72" spans="1:11" x14ac:dyDescent="0.25">
      <c r="A72" s="50"/>
      <c r="B72" s="48"/>
      <c r="C72" s="91"/>
      <c r="D72" s="34"/>
    </row>
    <row r="73" spans="1:11" x14ac:dyDescent="0.25">
      <c r="A73" s="50"/>
      <c r="B73" s="48"/>
      <c r="C73" s="92"/>
      <c r="D73" s="34"/>
    </row>
    <row r="74" spans="1:11" x14ac:dyDescent="0.25">
      <c r="A74" s="50"/>
      <c r="B74" s="50"/>
      <c r="C74" s="92"/>
      <c r="D74" s="34"/>
    </row>
    <row r="75" spans="1:11" x14ac:dyDescent="0.25">
      <c r="A75" s="48"/>
      <c r="B75" s="48"/>
      <c r="C75" s="91"/>
      <c r="D75" s="34"/>
    </row>
    <row r="76" spans="1:11" x14ac:dyDescent="0.25">
      <c r="C76" s="89"/>
      <c r="D76" s="34"/>
    </row>
    <row r="77" spans="1:11" x14ac:dyDescent="0.25">
      <c r="A77" s="50"/>
      <c r="C77" s="93"/>
      <c r="D77" s="34"/>
    </row>
    <row r="78" spans="1:11" x14ac:dyDescent="0.25">
      <c r="A78" s="23"/>
      <c r="C78" s="88"/>
      <c r="D78" s="34">
        <f>SUM(C72:C77)</f>
        <v>0</v>
      </c>
      <c r="E78" t="s">
        <v>64</v>
      </c>
      <c r="H78" s="34">
        <f>'Monthly monitoring &amp; reconcilia'!M54-D78</f>
        <v>0</v>
      </c>
      <c r="I78" s="34"/>
    </row>
    <row r="79" spans="1:11" x14ac:dyDescent="0.25">
      <c r="A79" s="23"/>
      <c r="D79" s="34"/>
    </row>
    <row r="80" spans="1:11" x14ac:dyDescent="0.25">
      <c r="A80" s="23" t="s">
        <v>124</v>
      </c>
      <c r="D80" s="34"/>
      <c r="K80" s="33"/>
    </row>
    <row r="81" spans="1:9" x14ac:dyDescent="0.25">
      <c r="A81" s="48"/>
      <c r="C81" s="89"/>
      <c r="D81" s="34"/>
    </row>
    <row r="82" spans="1:9" x14ac:dyDescent="0.25">
      <c r="A82" s="48"/>
      <c r="C82" s="89"/>
      <c r="D82" s="34"/>
    </row>
    <row r="83" spans="1:9" x14ac:dyDescent="0.25">
      <c r="A83" s="50"/>
      <c r="C83" s="89"/>
      <c r="D83" s="34"/>
    </row>
    <row r="84" spans="1:9" x14ac:dyDescent="0.25">
      <c r="A84" s="48"/>
      <c r="C84" s="94"/>
      <c r="D84" s="34"/>
    </row>
    <row r="85" spans="1:9" x14ac:dyDescent="0.25">
      <c r="A85" s="48"/>
      <c r="C85" s="90"/>
      <c r="D85" s="34"/>
    </row>
    <row r="86" spans="1:9" x14ac:dyDescent="0.25">
      <c r="C86" s="89"/>
      <c r="D86" s="34">
        <f>SUM(C81:C85)</f>
        <v>0</v>
      </c>
      <c r="E86" t="s">
        <v>64</v>
      </c>
      <c r="H86" s="34">
        <f>'Monthly monitoring &amp; reconcilia'!N54-D86</f>
        <v>0</v>
      </c>
      <c r="I86" s="34"/>
    </row>
    <row r="87" spans="1:9" x14ac:dyDescent="0.25">
      <c r="C87" s="89"/>
      <c r="D87" s="34"/>
    </row>
    <row r="89" spans="1:9" x14ac:dyDescent="0.25">
      <c r="D89" s="51">
        <f>SUM(D9:D88)</f>
        <v>949.5100000000001</v>
      </c>
      <c r="E89" t="s">
        <v>65</v>
      </c>
    </row>
  </sheetData>
  <pageMargins left="0.7" right="0.7" top="0.75" bottom="0.75" header="0.3" footer="0.3"/>
  <pageSetup paperSize="9" scale="5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Monthly monitoring &amp; reconcilia</vt:lpstr>
      <vt:lpstr>Reserves</vt:lpstr>
      <vt:lpstr>Sheet1</vt:lpstr>
      <vt:lpstr>RESERVES RECONCILIATION</vt:lpstr>
      <vt:lpstr>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2025-04-07T11:54:21Z</cp:lastPrinted>
  <dcterms:created xsi:type="dcterms:W3CDTF">2024-04-30T16:33:23Z</dcterms:created>
  <dcterms:modified xsi:type="dcterms:W3CDTF">2025-10-02T11:23:18Z</dcterms:modified>
</cp:coreProperties>
</file>