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w19\Documents\CODDENHAM FINANCES\2025-26Finances\"/>
    </mc:Choice>
  </mc:AlternateContent>
  <xr:revisionPtr revIDLastSave="0" documentId="13_ncr:1_{947C942D-3B7E-4902-A44F-61268F6753E5}" xr6:coauthVersionLast="47" xr6:coauthVersionMax="47" xr10:uidLastSave="{00000000-0000-0000-0000-000000000000}"/>
  <bookViews>
    <workbookView xWindow="-120" yWindow="-120" windowWidth="29040" windowHeight="15720" xr2:uid="{6E17610C-B0E9-4E1C-B623-905402CE45E1}"/>
  </bookViews>
  <sheets>
    <sheet name="Receipts &amp; Payments" sheetId="1" r:id="rId1"/>
    <sheet name="Sheet1" sheetId="2" r:id="rId2"/>
    <sheet name="Sheet2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F20" i="1"/>
  <c r="K20" i="1" s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23" i="1"/>
  <c r="K22" i="1"/>
  <c r="K21" i="1"/>
  <c r="I48" i="1"/>
  <c r="K14" i="1"/>
  <c r="K13" i="1"/>
  <c r="K12" i="1"/>
  <c r="K10" i="1"/>
  <c r="K9" i="1"/>
  <c r="K8" i="1"/>
  <c r="K6" i="1"/>
  <c r="K5" i="1"/>
  <c r="K7" i="1"/>
  <c r="F15" i="1"/>
  <c r="B17" i="2"/>
  <c r="B18" i="2" s="1"/>
  <c r="B10" i="2"/>
  <c r="H26" i="1"/>
  <c r="F16" i="1" l="1"/>
  <c r="F48" i="1"/>
  <c r="I49" i="1"/>
  <c r="H11" i="1"/>
  <c r="F49" i="1" l="1"/>
  <c r="K48" i="1"/>
  <c r="I54" i="1"/>
  <c r="F53" i="1"/>
  <c r="I15" i="1"/>
  <c r="K11" i="1"/>
  <c r="F16" i="2"/>
  <c r="F15" i="2"/>
  <c r="F14" i="2"/>
  <c r="F13" i="2"/>
  <c r="F12" i="2"/>
  <c r="F11" i="2"/>
  <c r="F17" i="2" s="1"/>
  <c r="F9" i="2"/>
  <c r="F8" i="2"/>
  <c r="F7" i="2"/>
  <c r="F6" i="2"/>
  <c r="F5" i="2"/>
  <c r="F10" i="2" s="1"/>
  <c r="F18" i="2" s="1"/>
  <c r="D16" i="2"/>
  <c r="D15" i="2"/>
  <c r="D14" i="2"/>
  <c r="D13" i="2"/>
  <c r="D12" i="2"/>
  <c r="D11" i="2"/>
  <c r="D17" i="2" s="1"/>
  <c r="D9" i="2"/>
  <c r="D8" i="2"/>
  <c r="D7" i="2"/>
  <c r="D10" i="2" s="1"/>
  <c r="D6" i="2"/>
  <c r="D5" i="2"/>
  <c r="K49" i="1" l="1"/>
  <c r="F54" i="1"/>
  <c r="K15" i="1"/>
  <c r="I16" i="1"/>
  <c r="D18" i="2"/>
  <c r="I53" i="1" l="1"/>
  <c r="K16" i="1"/>
  <c r="I55" i="1" l="1"/>
  <c r="F52" i="1" l="1"/>
  <c r="F55" i="1" s="1"/>
</calcChain>
</file>

<file path=xl/sharedStrings.xml><?xml version="1.0" encoding="utf-8"?>
<sst xmlns="http://schemas.openxmlformats.org/spreadsheetml/2006/main" count="89" uniqueCount="79">
  <si>
    <t>INCOME</t>
  </si>
  <si>
    <t>Precept</t>
  </si>
  <si>
    <t>Allotments</t>
  </si>
  <si>
    <t>Bank interest</t>
  </si>
  <si>
    <t>MSDC Grants (Pride In Place)</t>
  </si>
  <si>
    <t>MSDC Localities Grant</t>
  </si>
  <si>
    <t>VAT Recoverable</t>
  </si>
  <si>
    <t>Community Infrastructure Levy</t>
  </si>
  <si>
    <t>EXPENDITURE</t>
  </si>
  <si>
    <t>Administration</t>
  </si>
  <si>
    <t>Audit Fees</t>
  </si>
  <si>
    <t>Bank Charges</t>
  </si>
  <si>
    <t>Clerk's Salaries &amp; PAYE</t>
  </si>
  <si>
    <t>Data Protection</t>
  </si>
  <si>
    <t>Grounds Maintenance</t>
  </si>
  <si>
    <t>Information Box</t>
  </si>
  <si>
    <t>Insurance</t>
  </si>
  <si>
    <t>Payments to Community Centre</t>
  </si>
  <si>
    <t>PWLB Loan Payments</t>
  </si>
  <si>
    <t>S137 Payments</t>
  </si>
  <si>
    <t>Software Licences</t>
  </si>
  <si>
    <t>Street Lighting</t>
  </si>
  <si>
    <t>Subscriptions/Membership Fees</t>
  </si>
  <si>
    <t>Training</t>
  </si>
  <si>
    <t>Tree Works</t>
  </si>
  <si>
    <t>VAT to be recovered</t>
  </si>
  <si>
    <t>Waste Collection</t>
  </si>
  <si>
    <t>Web Hosting</t>
  </si>
  <si>
    <t>Litter Bins purchased</t>
  </si>
  <si>
    <t>RECEIPTS and PAYMENTS ACCOUNT for the YEAR ENDED</t>
  </si>
  <si>
    <t>MOVEMENTS</t>
  </si>
  <si>
    <t>Opening Balance</t>
  </si>
  <si>
    <t>Income as above</t>
  </si>
  <si>
    <t>Closing Balance</t>
  </si>
  <si>
    <t>Expenditure as above</t>
  </si>
  <si>
    <t>Professional Fees</t>
  </si>
  <si>
    <t>MSDC Grant Expenditure</t>
  </si>
  <si>
    <t>£</t>
  </si>
  <si>
    <t>TOTAL INCOME</t>
  </si>
  <si>
    <t>TOTAL EXPENDITURE</t>
  </si>
  <si>
    <t>AGAR</t>
  </si>
  <si>
    <t>Box Ref</t>
  </si>
  <si>
    <t>BOX 2</t>
  </si>
  <si>
    <t>BOX 3</t>
  </si>
  <si>
    <t>BOX 4</t>
  </si>
  <si>
    <t>BOX 5</t>
  </si>
  <si>
    <t>BOX 6</t>
  </si>
  <si>
    <t>BOX 1</t>
  </si>
  <si>
    <t>BOX 7</t>
  </si>
  <si>
    <t>Variance</t>
  </si>
  <si>
    <t>+ (-)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</si>
  <si>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</si>
  <si>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</si>
  <si>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</si>
  <si>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</si>
  <si>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</si>
  <si>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</si>
  <si>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</si>
  <si>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</si>
  <si>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</si>
  <si>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</si>
  <si>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</si>
  <si>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</si>
  <si>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 per AGAR</t>
  </si>
  <si>
    <t>First Half-Year</t>
  </si>
  <si>
    <t>Second Half Year</t>
  </si>
  <si>
    <t>2024/25</t>
  </si>
  <si>
    <t>Hall rental</t>
  </si>
  <si>
    <t>Newsletter/External Printing</t>
  </si>
  <si>
    <t>Street Lighting Upgrade</t>
  </si>
  <si>
    <t>Equipment Sale</t>
  </si>
  <si>
    <t>Gardemau Trust Grant</t>
  </si>
  <si>
    <t>Allotment Expenditure</t>
  </si>
  <si>
    <t>Leaflets (SCC Walking)</t>
  </si>
  <si>
    <t>CIL Expenditure</t>
  </si>
  <si>
    <t>CLERK'S SALARY 2025, 2024 &amp; 2023</t>
  </si>
  <si>
    <t>2025/26</t>
  </si>
  <si>
    <t>31st MARCH 2026</t>
  </si>
  <si>
    <t>Other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</si>
</sst>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quotePrefix="1" applyFont="1"/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1" xfId="1" applyNumberFormat="1" applyFont="1" applyBorder="1"/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164" fontId="0" fillId="0" borderId="1" xfId="0" applyNumberFormat="1" applyBorder="1"/>
    <xf numFmtId="165" fontId="0" fillId="0" borderId="0" xfId="0" applyNumberFormat="1"/>
    <xf numFmtId="0" fontId="6" fillId="0" borderId="0" xfId="0" applyFont="1"/>
    <xf numFmtId="164" fontId="4" fillId="0" borderId="0" xfId="1" applyNumberFormat="1" applyFont="1"/>
    <xf numFmtId="164" fontId="4" fillId="0" borderId="0" xfId="0" applyNumberFormat="1" applyFont="1"/>
    <xf numFmtId="0" fontId="7" fillId="0" borderId="0" xfId="0" applyFont="1"/>
    <xf numFmtId="164" fontId="0" fillId="0" borderId="2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A5FC-25D4-4572-A406-9B61458E8248}">
  <sheetPr>
    <pageSetUpPr fitToPage="1"/>
  </sheetPr>
  <dimension ref="A1:N59"/>
  <sheetViews>
    <sheetView tabSelected="1" workbookViewId="0"/>
  </sheetViews>
  <sheetFormatPr defaultRowHeight="15" x14ac:dyDescent="0.25"/>
  <cols>
    <col min="1" max="1" width="3.7109375" customWidth="1"/>
    <col min="2" max="2" width="34" customWidth="1"/>
    <col min="3" max="3" width="7.7109375" customWidth="1"/>
    <col min="4" max="4" width="3.5703125" customWidth="1"/>
    <col min="5" max="5" width="9.28515625" customWidth="1"/>
    <col min="6" max="6" width="11.140625" customWidth="1"/>
    <col min="7" max="7" width="4.140625" customWidth="1"/>
    <col min="8" max="8" width="9.42578125" customWidth="1"/>
    <col min="9" max="9" width="12.5703125" customWidth="1"/>
    <col min="10" max="10" width="5.7109375" customWidth="1"/>
    <col min="11" max="11" width="10.5703125" bestFit="1" customWidth="1"/>
    <col min="12" max="12" width="5.42578125" customWidth="1"/>
  </cols>
  <sheetData>
    <row r="1" spans="1:13" ht="18.75" x14ac:dyDescent="0.3">
      <c r="A1" s="6" t="s">
        <v>29</v>
      </c>
    </row>
    <row r="2" spans="1:13" ht="18.75" x14ac:dyDescent="0.3">
      <c r="A2" s="7" t="s">
        <v>77</v>
      </c>
      <c r="F2" s="20"/>
    </row>
    <row r="3" spans="1:13" x14ac:dyDescent="0.25">
      <c r="C3" s="13" t="s">
        <v>40</v>
      </c>
      <c r="D3" s="13"/>
      <c r="E3" s="11" t="s">
        <v>76</v>
      </c>
      <c r="F3" s="11" t="s">
        <v>76</v>
      </c>
      <c r="G3" s="13"/>
      <c r="H3" s="11" t="s">
        <v>66</v>
      </c>
      <c r="I3" s="11" t="s">
        <v>66</v>
      </c>
      <c r="K3" s="12" t="s">
        <v>49</v>
      </c>
    </row>
    <row r="4" spans="1:13" x14ac:dyDescent="0.25">
      <c r="B4" s="5" t="s">
        <v>0</v>
      </c>
      <c r="C4" s="5" t="s">
        <v>41</v>
      </c>
      <c r="D4" s="5"/>
      <c r="E4" s="12" t="s">
        <v>37</v>
      </c>
      <c r="F4" s="12" t="s">
        <v>37</v>
      </c>
      <c r="G4" s="5"/>
      <c r="H4" s="12" t="s">
        <v>37</v>
      </c>
      <c r="I4" s="12" t="s">
        <v>37</v>
      </c>
      <c r="K4" s="11" t="s">
        <v>50</v>
      </c>
    </row>
    <row r="5" spans="1:13" x14ac:dyDescent="0.25">
      <c r="B5" t="s">
        <v>1</v>
      </c>
      <c r="C5" s="13" t="s">
        <v>42</v>
      </c>
      <c r="D5" s="13"/>
      <c r="E5" s="18"/>
      <c r="F5" s="18">
        <v>35259</v>
      </c>
      <c r="G5" s="13"/>
      <c r="H5" s="18"/>
      <c r="I5" s="18">
        <v>34217</v>
      </c>
      <c r="K5" s="21">
        <f>F5-I5</f>
        <v>1042</v>
      </c>
    </row>
    <row r="6" spans="1:13" x14ac:dyDescent="0.25">
      <c r="B6" t="s">
        <v>2</v>
      </c>
      <c r="E6" s="8">
        <v>170</v>
      </c>
      <c r="F6" s="8"/>
      <c r="H6" s="8">
        <v>180</v>
      </c>
      <c r="I6" s="8"/>
      <c r="K6" s="16">
        <f t="shared" ref="K6:K14" si="0">E6-H6</f>
        <v>-10</v>
      </c>
    </row>
    <row r="7" spans="1:13" x14ac:dyDescent="0.25">
      <c r="B7" t="s">
        <v>3</v>
      </c>
      <c r="E7" s="8">
        <v>623.08000000000004</v>
      </c>
      <c r="F7" s="8"/>
      <c r="H7" s="8">
        <v>729</v>
      </c>
      <c r="I7" s="8"/>
      <c r="K7" s="16">
        <f t="shared" si="0"/>
        <v>-105.91999999999996</v>
      </c>
    </row>
    <row r="8" spans="1:13" x14ac:dyDescent="0.25">
      <c r="B8" t="s">
        <v>78</v>
      </c>
      <c r="E8" s="8">
        <v>35.76</v>
      </c>
      <c r="F8" s="8"/>
      <c r="H8" s="8"/>
      <c r="I8" s="8"/>
      <c r="K8" s="16">
        <f t="shared" si="0"/>
        <v>35.76</v>
      </c>
    </row>
    <row r="9" spans="1:13" x14ac:dyDescent="0.25">
      <c r="B9" t="s">
        <v>4</v>
      </c>
      <c r="E9" s="8"/>
      <c r="F9" s="8"/>
      <c r="H9" s="8">
        <v>400</v>
      </c>
      <c r="I9" s="8"/>
      <c r="K9" s="16">
        <f t="shared" si="0"/>
        <v>-400</v>
      </c>
    </row>
    <row r="10" spans="1:13" x14ac:dyDescent="0.25">
      <c r="B10" t="s">
        <v>70</v>
      </c>
      <c r="E10" s="8"/>
      <c r="F10" s="8"/>
      <c r="H10" s="8">
        <v>132</v>
      </c>
      <c r="I10" s="8"/>
      <c r="K10" s="16">
        <f t="shared" si="0"/>
        <v>-132</v>
      </c>
    </row>
    <row r="11" spans="1:13" x14ac:dyDescent="0.25">
      <c r="B11" t="s">
        <v>5</v>
      </c>
      <c r="E11" s="8">
        <v>500</v>
      </c>
      <c r="F11" s="8"/>
      <c r="H11" s="8">
        <f>1020+500+384</f>
        <v>1904</v>
      </c>
      <c r="I11" s="8"/>
      <c r="K11" s="16">
        <f t="shared" si="0"/>
        <v>-1404</v>
      </c>
    </row>
    <row r="12" spans="1:13" x14ac:dyDescent="0.25">
      <c r="B12" t="s">
        <v>71</v>
      </c>
      <c r="E12" s="8"/>
      <c r="F12" s="8"/>
      <c r="H12" s="8">
        <v>158</v>
      </c>
      <c r="I12" s="8"/>
      <c r="K12" s="16">
        <f t="shared" si="0"/>
        <v>-158</v>
      </c>
    </row>
    <row r="13" spans="1:13" x14ac:dyDescent="0.25">
      <c r="B13" t="s">
        <v>6</v>
      </c>
      <c r="E13" s="8">
        <v>1906.75</v>
      </c>
      <c r="F13" s="8"/>
      <c r="H13" s="8">
        <v>2130</v>
      </c>
      <c r="I13" s="8"/>
      <c r="K13" s="16">
        <f t="shared" si="0"/>
        <v>-223.25</v>
      </c>
    </row>
    <row r="14" spans="1:13" x14ac:dyDescent="0.25">
      <c r="B14" t="s">
        <v>7</v>
      </c>
      <c r="E14" s="9"/>
      <c r="F14" s="8"/>
      <c r="H14" s="9">
        <v>2827</v>
      </c>
      <c r="I14" s="8"/>
      <c r="K14" s="16">
        <f t="shared" si="0"/>
        <v>-2827</v>
      </c>
      <c r="M14" s="14"/>
    </row>
    <row r="15" spans="1:13" x14ac:dyDescent="0.25">
      <c r="C15" s="13" t="s">
        <v>43</v>
      </c>
      <c r="D15" s="13"/>
      <c r="E15" s="18"/>
      <c r="F15" s="18">
        <f>SUM(E6:E14)</f>
        <v>3235.59</v>
      </c>
      <c r="G15" s="13"/>
      <c r="H15" s="18"/>
      <c r="I15" s="18">
        <f>SUM(H6:H14)</f>
        <v>8460</v>
      </c>
      <c r="K15" s="15">
        <f>F15-I15</f>
        <v>-5224.41</v>
      </c>
    </row>
    <row r="16" spans="1:13" x14ac:dyDescent="0.25">
      <c r="B16" t="s">
        <v>38</v>
      </c>
      <c r="E16" s="8"/>
      <c r="F16" s="10">
        <f>SUM(F5:F15)</f>
        <v>38494.589999999997</v>
      </c>
      <c r="H16" s="8"/>
      <c r="I16" s="10">
        <f>SUM(I5:I15)</f>
        <v>42677</v>
      </c>
      <c r="K16" s="15">
        <f>F16-I16</f>
        <v>-4182.4100000000035</v>
      </c>
    </row>
    <row r="17" spans="2:11" x14ac:dyDescent="0.25">
      <c r="K17" s="3"/>
    </row>
    <row r="18" spans="2:11" x14ac:dyDescent="0.25">
      <c r="K18" s="12" t="s">
        <v>49</v>
      </c>
    </row>
    <row r="19" spans="2:11" x14ac:dyDescent="0.25">
      <c r="B19" s="5" t="s">
        <v>8</v>
      </c>
      <c r="C19" s="5"/>
      <c r="D19" s="5"/>
      <c r="E19" s="5"/>
      <c r="F19" s="5"/>
      <c r="G19" s="5"/>
      <c r="H19" s="5"/>
      <c r="I19" s="5"/>
      <c r="K19" s="11" t="s">
        <v>50</v>
      </c>
    </row>
    <row r="20" spans="2:11" x14ac:dyDescent="0.25">
      <c r="B20" t="s">
        <v>12</v>
      </c>
      <c r="C20" s="13" t="s">
        <v>44</v>
      </c>
      <c r="D20" s="13"/>
      <c r="E20" s="13"/>
      <c r="F20" s="18">
        <f>7033.01+1070.66</f>
        <v>8103.67</v>
      </c>
      <c r="G20" s="13"/>
      <c r="H20" s="13"/>
      <c r="I20" s="18">
        <v>7800</v>
      </c>
      <c r="K20" s="14">
        <f>I20-F20</f>
        <v>-303.67000000000007</v>
      </c>
    </row>
    <row r="21" spans="2:11" x14ac:dyDescent="0.25">
      <c r="B21" t="s">
        <v>18</v>
      </c>
      <c r="C21" s="13" t="s">
        <v>45</v>
      </c>
      <c r="D21" s="13"/>
      <c r="E21" s="13"/>
      <c r="F21" s="18">
        <v>13151.84</v>
      </c>
      <c r="G21" s="13"/>
      <c r="H21" s="13"/>
      <c r="I21" s="18">
        <v>13152</v>
      </c>
      <c r="K21" s="14">
        <f>I21-F21</f>
        <v>0.15999999999985448</v>
      </c>
    </row>
    <row r="22" spans="2:11" x14ac:dyDescent="0.25">
      <c r="B22" t="s">
        <v>9</v>
      </c>
      <c r="E22" s="8">
        <v>420.6</v>
      </c>
      <c r="H22" s="8">
        <v>438</v>
      </c>
      <c r="I22" s="8"/>
      <c r="K22" s="16">
        <f>H22-E22</f>
        <v>17.399999999999977</v>
      </c>
    </row>
    <row r="23" spans="2:11" x14ac:dyDescent="0.25">
      <c r="B23" t="s">
        <v>10</v>
      </c>
      <c r="E23" s="8">
        <v>492</v>
      </c>
      <c r="H23" s="8">
        <v>532</v>
      </c>
      <c r="I23" s="8"/>
      <c r="K23" s="16">
        <f>H23-E23</f>
        <v>40</v>
      </c>
    </row>
    <row r="24" spans="2:11" x14ac:dyDescent="0.25">
      <c r="B24" t="s">
        <v>11</v>
      </c>
      <c r="E24" s="8">
        <v>109</v>
      </c>
      <c r="H24" s="8">
        <v>152</v>
      </c>
      <c r="I24" s="8"/>
      <c r="K24" s="16">
        <f t="shared" ref="K24:K47" si="1">H24-E24</f>
        <v>43</v>
      </c>
    </row>
    <row r="25" spans="2:11" x14ac:dyDescent="0.25">
      <c r="B25" t="s">
        <v>13</v>
      </c>
      <c r="E25" s="8">
        <v>47</v>
      </c>
      <c r="H25" s="8">
        <v>35</v>
      </c>
      <c r="I25" s="8"/>
      <c r="K25" s="16">
        <f t="shared" si="1"/>
        <v>-12</v>
      </c>
    </row>
    <row r="26" spans="2:11" x14ac:dyDescent="0.25">
      <c r="B26" t="s">
        <v>14</v>
      </c>
      <c r="E26" s="8">
        <f>1057.2+3135.36</f>
        <v>4192.5600000000004</v>
      </c>
      <c r="H26" s="8">
        <f>2353+180</f>
        <v>2533</v>
      </c>
      <c r="I26" s="8"/>
      <c r="K26" s="16">
        <f t="shared" si="1"/>
        <v>-1659.5600000000004</v>
      </c>
    </row>
    <row r="27" spans="2:11" x14ac:dyDescent="0.25">
      <c r="B27" t="s">
        <v>15</v>
      </c>
      <c r="E27" s="8">
        <v>25.37</v>
      </c>
      <c r="H27" s="8">
        <v>0</v>
      </c>
      <c r="I27" s="8"/>
      <c r="K27" s="16">
        <f t="shared" si="1"/>
        <v>-25.37</v>
      </c>
    </row>
    <row r="28" spans="2:11" x14ac:dyDescent="0.25">
      <c r="B28" t="s">
        <v>16</v>
      </c>
      <c r="E28" s="8">
        <v>399.78</v>
      </c>
      <c r="H28" s="8">
        <v>397</v>
      </c>
      <c r="I28" s="8"/>
      <c r="K28" s="16">
        <f t="shared" si="1"/>
        <v>-2.7799999999999727</v>
      </c>
    </row>
    <row r="29" spans="2:11" x14ac:dyDescent="0.25">
      <c r="B29" t="s">
        <v>68</v>
      </c>
      <c r="E29" s="8">
        <v>216.8</v>
      </c>
      <c r="H29" s="8">
        <v>531</v>
      </c>
      <c r="I29" s="8"/>
      <c r="K29" s="16">
        <f t="shared" si="1"/>
        <v>314.2</v>
      </c>
    </row>
    <row r="30" spans="2:11" x14ac:dyDescent="0.25">
      <c r="B30" t="s">
        <v>17</v>
      </c>
      <c r="E30" s="8">
        <v>4200</v>
      </c>
      <c r="H30" s="8">
        <v>4000</v>
      </c>
      <c r="I30" s="8"/>
      <c r="K30" s="16">
        <f t="shared" si="1"/>
        <v>-200</v>
      </c>
    </row>
    <row r="31" spans="2:11" x14ac:dyDescent="0.25">
      <c r="B31" t="s">
        <v>35</v>
      </c>
      <c r="E31" s="8"/>
      <c r="H31" s="8">
        <v>9</v>
      </c>
      <c r="I31" s="8"/>
      <c r="K31" s="16">
        <f t="shared" si="1"/>
        <v>9</v>
      </c>
    </row>
    <row r="32" spans="2:11" x14ac:dyDescent="0.25">
      <c r="B32" t="s">
        <v>19</v>
      </c>
      <c r="E32" s="8">
        <v>150</v>
      </c>
      <c r="H32" s="8">
        <v>150</v>
      </c>
      <c r="I32" s="8"/>
      <c r="K32" s="16">
        <f t="shared" si="1"/>
        <v>0</v>
      </c>
    </row>
    <row r="33" spans="2:14" x14ac:dyDescent="0.25">
      <c r="B33" t="s">
        <v>20</v>
      </c>
      <c r="E33" s="8">
        <v>244.97</v>
      </c>
      <c r="H33" s="8">
        <v>105</v>
      </c>
      <c r="I33" s="8"/>
      <c r="K33" s="16">
        <f t="shared" si="1"/>
        <v>-139.97</v>
      </c>
    </row>
    <row r="34" spans="2:14" x14ac:dyDescent="0.25">
      <c r="B34" t="s">
        <v>21</v>
      </c>
      <c r="E34" s="8">
        <v>247.35</v>
      </c>
      <c r="H34" s="8">
        <v>325</v>
      </c>
      <c r="I34" s="8"/>
      <c r="K34" s="16">
        <f t="shared" si="1"/>
        <v>77.650000000000006</v>
      </c>
    </row>
    <row r="35" spans="2:14" x14ac:dyDescent="0.25">
      <c r="B35" t="s">
        <v>22</v>
      </c>
      <c r="E35" s="8">
        <v>346</v>
      </c>
      <c r="H35" s="8">
        <v>538</v>
      </c>
      <c r="I35" s="8"/>
      <c r="K35" s="16">
        <f t="shared" si="1"/>
        <v>192</v>
      </c>
    </row>
    <row r="36" spans="2:14" x14ac:dyDescent="0.25">
      <c r="B36" t="s">
        <v>23</v>
      </c>
      <c r="E36" s="8">
        <v>105</v>
      </c>
      <c r="H36" s="8">
        <v>435</v>
      </c>
      <c r="I36" s="8"/>
      <c r="K36" s="16">
        <f t="shared" si="1"/>
        <v>330</v>
      </c>
    </row>
    <row r="37" spans="2:14" x14ac:dyDescent="0.25">
      <c r="B37" t="s">
        <v>24</v>
      </c>
      <c r="E37" s="8">
        <v>950</v>
      </c>
      <c r="H37" s="8">
        <v>2020</v>
      </c>
      <c r="I37" s="8"/>
      <c r="K37" s="16">
        <f t="shared" si="1"/>
        <v>1070</v>
      </c>
    </row>
    <row r="38" spans="2:14" x14ac:dyDescent="0.25">
      <c r="B38" t="s">
        <v>25</v>
      </c>
      <c r="E38" s="8">
        <v>1574.26</v>
      </c>
      <c r="H38" s="8">
        <v>1706</v>
      </c>
      <c r="I38" s="8"/>
      <c r="K38" s="16">
        <f t="shared" si="1"/>
        <v>131.74</v>
      </c>
    </row>
    <row r="39" spans="2:14" x14ac:dyDescent="0.25">
      <c r="B39" t="s">
        <v>26</v>
      </c>
      <c r="E39" s="8">
        <v>509.5</v>
      </c>
      <c r="H39" s="8">
        <v>556</v>
      </c>
      <c r="I39" s="8"/>
      <c r="K39" s="16">
        <f t="shared" si="1"/>
        <v>46.5</v>
      </c>
    </row>
    <row r="40" spans="2:14" x14ac:dyDescent="0.25">
      <c r="B40" t="s">
        <v>27</v>
      </c>
      <c r="E40" s="8">
        <v>266.5</v>
      </c>
      <c r="H40" s="8">
        <v>166</v>
      </c>
      <c r="I40" s="8"/>
      <c r="K40" s="16">
        <f t="shared" si="1"/>
        <v>-100.5</v>
      </c>
    </row>
    <row r="41" spans="2:14" x14ac:dyDescent="0.25">
      <c r="B41" t="s">
        <v>36</v>
      </c>
      <c r="E41" s="8">
        <v>1577.3</v>
      </c>
      <c r="H41" s="8">
        <v>1020</v>
      </c>
      <c r="I41" s="8"/>
      <c r="K41" s="16">
        <f t="shared" si="1"/>
        <v>-557.29999999999995</v>
      </c>
    </row>
    <row r="42" spans="2:14" x14ac:dyDescent="0.25">
      <c r="B42" t="s">
        <v>67</v>
      </c>
      <c r="E42" s="8">
        <v>0</v>
      </c>
      <c r="H42" s="8">
        <v>10</v>
      </c>
      <c r="I42" s="8"/>
      <c r="K42" s="16">
        <f t="shared" si="1"/>
        <v>10</v>
      </c>
    </row>
    <row r="43" spans="2:14" x14ac:dyDescent="0.25">
      <c r="B43" t="s">
        <v>72</v>
      </c>
      <c r="E43" s="8">
        <v>140.84</v>
      </c>
      <c r="H43" s="8">
        <v>251</v>
      </c>
      <c r="I43" s="8"/>
      <c r="K43" s="16">
        <f t="shared" si="1"/>
        <v>110.16</v>
      </c>
    </row>
    <row r="44" spans="2:14" x14ac:dyDescent="0.25">
      <c r="B44" t="s">
        <v>69</v>
      </c>
      <c r="E44" s="8">
        <v>0</v>
      </c>
      <c r="H44" s="8">
        <v>2909</v>
      </c>
      <c r="I44" s="8"/>
      <c r="K44" s="16">
        <f t="shared" si="1"/>
        <v>2909</v>
      </c>
    </row>
    <row r="45" spans="2:14" x14ac:dyDescent="0.25">
      <c r="B45" t="s">
        <v>28</v>
      </c>
      <c r="E45" s="8">
        <v>0</v>
      </c>
      <c r="H45" s="8">
        <v>57</v>
      </c>
      <c r="I45" s="8"/>
      <c r="K45" s="16">
        <f t="shared" si="1"/>
        <v>57</v>
      </c>
    </row>
    <row r="46" spans="2:14" x14ac:dyDescent="0.25">
      <c r="B46" t="s">
        <v>73</v>
      </c>
      <c r="E46" s="8">
        <v>0</v>
      </c>
      <c r="H46" s="8">
        <v>515</v>
      </c>
      <c r="I46" s="8"/>
      <c r="K46" s="16">
        <f t="shared" si="1"/>
        <v>515</v>
      </c>
    </row>
    <row r="47" spans="2:14" x14ac:dyDescent="0.25">
      <c r="B47" t="s">
        <v>74</v>
      </c>
      <c r="E47" s="8">
        <v>0</v>
      </c>
      <c r="H47" s="8">
        <v>1224</v>
      </c>
      <c r="I47" s="8"/>
      <c r="K47" s="16">
        <f t="shared" si="1"/>
        <v>1224</v>
      </c>
    </row>
    <row r="48" spans="2:14" x14ac:dyDescent="0.25">
      <c r="C48" s="13" t="s">
        <v>46</v>
      </c>
      <c r="D48" s="13"/>
      <c r="E48" s="13"/>
      <c r="F48" s="8">
        <f>SUM(E22:E47)</f>
        <v>16214.83</v>
      </c>
      <c r="G48" s="13"/>
      <c r="H48" s="13"/>
      <c r="I48" s="8">
        <f>SUM(H22:H47)</f>
        <v>20614</v>
      </c>
      <c r="K48" s="8">
        <f>I48-F48</f>
        <v>4399.17</v>
      </c>
      <c r="N48" s="14"/>
    </row>
    <row r="49" spans="2:13" x14ac:dyDescent="0.25">
      <c r="B49" t="s">
        <v>39</v>
      </c>
      <c r="F49" s="10">
        <f>SUM(F20:F48)</f>
        <v>37470.340000000004</v>
      </c>
      <c r="I49" s="10">
        <f>SUM(I20:I48)</f>
        <v>41566</v>
      </c>
      <c r="K49" s="15">
        <f>I49-F49</f>
        <v>4095.6599999999962</v>
      </c>
    </row>
    <row r="51" spans="2:13" x14ac:dyDescent="0.25">
      <c r="B51" t="s">
        <v>30</v>
      </c>
    </row>
    <row r="52" spans="2:13" x14ac:dyDescent="0.25">
      <c r="B52" t="s">
        <v>31</v>
      </c>
      <c r="C52" s="13" t="s">
        <v>47</v>
      </c>
      <c r="D52" s="13"/>
      <c r="E52" s="13"/>
      <c r="F52" s="19">
        <f>I55</f>
        <v>41923</v>
      </c>
      <c r="G52" s="13"/>
      <c r="H52" s="13"/>
      <c r="I52" s="14">
        <v>40812</v>
      </c>
      <c r="L52" s="3"/>
    </row>
    <row r="53" spans="2:13" x14ac:dyDescent="0.25">
      <c r="B53" t="s">
        <v>32</v>
      </c>
      <c r="F53" s="14">
        <f>F16</f>
        <v>38494.589999999997</v>
      </c>
      <c r="I53" s="14">
        <f>I16</f>
        <v>42677</v>
      </c>
    </row>
    <row r="54" spans="2:13" x14ac:dyDescent="0.25">
      <c r="B54" t="s">
        <v>34</v>
      </c>
      <c r="F54" s="14">
        <f>-F49</f>
        <v>-37470.340000000004</v>
      </c>
      <c r="I54" s="14">
        <f>-I49</f>
        <v>-41566</v>
      </c>
    </row>
    <row r="55" spans="2:13" x14ac:dyDescent="0.25">
      <c r="B55" t="s">
        <v>33</v>
      </c>
      <c r="C55" s="13" t="s">
        <v>48</v>
      </c>
      <c r="D55" s="13"/>
      <c r="E55" s="13"/>
      <c r="F55" s="10">
        <f>SUM(F52:F54)</f>
        <v>42947.249999999993</v>
      </c>
      <c r="G55" s="13"/>
      <c r="H55" s="13"/>
      <c r="I55" s="10">
        <f>SUM(I52:I54)</f>
        <v>41923</v>
      </c>
    </row>
    <row r="57" spans="2:13" x14ac:dyDescent="0.25">
      <c r="I57" s="8"/>
    </row>
    <row r="58" spans="2:13" x14ac:dyDescent="0.25">
      <c r="F58" s="14"/>
      <c r="I58" s="14"/>
      <c r="M58" s="14"/>
    </row>
    <row r="59" spans="2:13" x14ac:dyDescent="0.25">
      <c r="I59" s="14"/>
    </row>
  </sheetData>
  <pageMargins left="0.7" right="0.7" top="0.75" bottom="0.75" header="0.3" footer="0.3"/>
  <pageSetup scale="81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48E5A-9AE8-45B3-957C-E70E428A6511}">
  <dimension ref="A1:F18"/>
  <sheetViews>
    <sheetView workbookViewId="0"/>
  </sheetViews>
  <sheetFormatPr defaultRowHeight="15" x14ac:dyDescent="0.25"/>
  <cols>
    <col min="1" max="1" width="18.28515625" customWidth="1"/>
    <col min="2" max="2" width="10.42578125" customWidth="1"/>
    <col min="3" max="3" width="5.85546875" customWidth="1"/>
    <col min="4" max="4" width="9.5703125" bestFit="1" customWidth="1"/>
    <col min="5" max="5" width="5.28515625" customWidth="1"/>
    <col min="6" max="6" width="9.5703125" bestFit="1" customWidth="1"/>
  </cols>
  <sheetData>
    <row r="1" spans="1:6" ht="18.75" x14ac:dyDescent="0.3">
      <c r="A1" s="17" t="s">
        <v>75</v>
      </c>
      <c r="B1" s="17"/>
      <c r="C1" s="17"/>
    </row>
    <row r="2" spans="1:6" x14ac:dyDescent="0.25">
      <c r="B2" s="4">
        <v>2025</v>
      </c>
      <c r="D2" s="4">
        <v>2024</v>
      </c>
      <c r="E2" s="4"/>
      <c r="F2" s="4">
        <v>2023</v>
      </c>
    </row>
    <row r="3" spans="1:6" x14ac:dyDescent="0.25">
      <c r="B3" s="4" t="s">
        <v>37</v>
      </c>
      <c r="D3" s="4" t="s">
        <v>37</v>
      </c>
      <c r="E3" s="4"/>
      <c r="F3" s="4" t="s">
        <v>37</v>
      </c>
    </row>
    <row r="4" spans="1:6" x14ac:dyDescent="0.25">
      <c r="A4" t="s">
        <v>51</v>
      </c>
      <c r="B4">
        <v>942.25</v>
      </c>
      <c r="D4" s="1">
        <v>568.91</v>
      </c>
      <c r="E4" s="1"/>
      <c r="F4" s="1">
        <v>688.22</v>
      </c>
    </row>
    <row r="5" spans="1:6" x14ac:dyDescent="0.25">
      <c r="A5" t="s">
        <v>52</v>
      </c>
      <c r="B5">
        <v>581.20000000000005</v>
      </c>
      <c r="D5" s="1">
        <f>934.65-568.91</f>
        <v>365.74</v>
      </c>
      <c r="E5" s="1"/>
      <c r="F5" s="1">
        <f>1172.48-688.22</f>
        <v>484.26</v>
      </c>
    </row>
    <row r="6" spans="1:6" x14ac:dyDescent="0.25">
      <c r="A6" t="s">
        <v>53</v>
      </c>
      <c r="B6">
        <v>517.23</v>
      </c>
      <c r="D6" s="1">
        <f>1458.18-934.65</f>
        <v>523.53000000000009</v>
      </c>
      <c r="E6" s="1"/>
      <c r="F6" s="1">
        <f>1673.84-1172.48</f>
        <v>501.3599999999999</v>
      </c>
    </row>
    <row r="7" spans="1:6" x14ac:dyDescent="0.25">
      <c r="A7" t="s">
        <v>54</v>
      </c>
      <c r="B7">
        <v>890.4</v>
      </c>
      <c r="D7" s="1">
        <f>1747.92-1458.18</f>
        <v>289.74</v>
      </c>
      <c r="E7" s="1"/>
      <c r="F7" s="1">
        <f>1949.55-1673.84</f>
        <v>275.71000000000004</v>
      </c>
    </row>
    <row r="8" spans="1:6" x14ac:dyDescent="0.25">
      <c r="A8" t="s">
        <v>55</v>
      </c>
      <c r="B8">
        <v>751.42</v>
      </c>
      <c r="D8" s="1">
        <f>2287.28-1747.92</f>
        <v>539.36000000000013</v>
      </c>
      <c r="E8" s="1"/>
      <c r="F8" s="1">
        <f>2414.19-1949.55</f>
        <v>464.6400000000001</v>
      </c>
    </row>
    <row r="9" spans="1:6" x14ac:dyDescent="0.25">
      <c r="A9" t="s">
        <v>56</v>
      </c>
      <c r="B9">
        <v>362.1</v>
      </c>
      <c r="D9" s="1">
        <f>2766.63-2287.28</f>
        <v>479.34999999999991</v>
      </c>
      <c r="E9" s="1"/>
      <c r="F9" s="1">
        <f>2801.62-2414.19</f>
        <v>387.42999999999984</v>
      </c>
    </row>
    <row r="10" spans="1:6" x14ac:dyDescent="0.25">
      <c r="A10" t="s">
        <v>64</v>
      </c>
      <c r="B10" s="2">
        <f>SUM(B4:B9)</f>
        <v>4044.6</v>
      </c>
      <c r="D10" s="2">
        <f>SUM(D4:D9)</f>
        <v>2766.63</v>
      </c>
      <c r="E10" s="1"/>
      <c r="F10" s="2">
        <f>SUM(F4:F9)</f>
        <v>2801.62</v>
      </c>
    </row>
    <row r="11" spans="1:6" x14ac:dyDescent="0.25">
      <c r="A11" t="s">
        <v>57</v>
      </c>
      <c r="B11">
        <v>999.07</v>
      </c>
      <c r="D11" s="1">
        <f>3299.04-2766.63</f>
        <v>532.40999999999985</v>
      </c>
      <c r="E11" s="1"/>
      <c r="F11" s="1">
        <f>3080.35-2801.62</f>
        <v>278.73</v>
      </c>
    </row>
    <row r="12" spans="1:6" x14ac:dyDescent="0.25">
      <c r="A12" t="s">
        <v>58</v>
      </c>
      <c r="B12">
        <v>676.8</v>
      </c>
      <c r="D12" s="1">
        <f>4560.75-3299.04</f>
        <v>1261.71</v>
      </c>
      <c r="E12" s="1"/>
      <c r="F12" s="1">
        <f>3412.81-3080.35</f>
        <v>332.46000000000004</v>
      </c>
    </row>
    <row r="13" spans="1:6" x14ac:dyDescent="0.25">
      <c r="A13" t="s">
        <v>59</v>
      </c>
      <c r="B13">
        <v>497.2</v>
      </c>
      <c r="D13" s="1">
        <f>5268.02-4560.75</f>
        <v>707.27000000000044</v>
      </c>
      <c r="E13" s="1"/>
      <c r="F13" s="1">
        <f>4080.64-3412.81</f>
        <v>667.82999999999993</v>
      </c>
    </row>
    <row r="14" spans="1:6" x14ac:dyDescent="0.25">
      <c r="A14" t="s">
        <v>60</v>
      </c>
      <c r="B14">
        <v>669.86</v>
      </c>
      <c r="D14" s="1">
        <f>6078.86-5268.02</f>
        <v>810.83999999999924</v>
      </c>
      <c r="E14" s="1"/>
      <c r="F14" s="1">
        <f>4352.2-4080.64</f>
        <v>271.55999999999995</v>
      </c>
    </row>
    <row r="15" spans="1:6" x14ac:dyDescent="0.25">
      <c r="A15" t="s">
        <v>61</v>
      </c>
      <c r="B15">
        <v>529.12</v>
      </c>
      <c r="D15" s="1">
        <f>6218.89-6078.86</f>
        <v>140.03000000000065</v>
      </c>
      <c r="E15" s="1"/>
      <c r="F15" s="1">
        <f>4795.59-42.75-4352.2</f>
        <v>400.64000000000033</v>
      </c>
    </row>
    <row r="16" spans="1:6" x14ac:dyDescent="0.25">
      <c r="A16" t="s">
        <v>62</v>
      </c>
      <c r="B16">
        <v>383.4</v>
      </c>
      <c r="D16" s="1">
        <f>6727.06-6218.89</f>
        <v>508.17000000000007</v>
      </c>
      <c r="E16" s="1"/>
      <c r="F16" s="1">
        <f>4981.47-4795.59+42.75</f>
        <v>228.63000000000011</v>
      </c>
    </row>
    <row r="17" spans="1:6" x14ac:dyDescent="0.25">
      <c r="A17" t="s">
        <v>65</v>
      </c>
      <c r="B17" s="2">
        <f>SUM(B11:B16)</f>
        <v>3755.45</v>
      </c>
      <c r="D17" s="2">
        <f>SUM(D11:D16)</f>
        <v>3960.4300000000003</v>
      </c>
      <c r="E17" s="1"/>
      <c r="F17" s="2">
        <f>SUM(F11:F16)</f>
        <v>2179.8500000000004</v>
      </c>
    </row>
    <row r="18" spans="1:6" x14ac:dyDescent="0.25">
      <c r="A18" t="s">
        <v>63</v>
      </c>
      <c r="B18" s="2">
        <f>B10+B17</f>
        <v>7800.0499999999993</v>
      </c>
      <c r="D18" s="2">
        <f>D10+D17</f>
        <v>6727.06</v>
      </c>
      <c r="E18" s="1"/>
      <c r="F18" s="2">
        <f>F10+F17</f>
        <v>4981.47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3251D-E3C7-46DD-8F77-BFB7D878316B}">
  <dimension ref="A1"/>
  <sheetViews>
    <sheetView workbookViewId="0">
      <selection activeCell="B5" sqref="B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Receipts &amp; Payments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John Whitehead</cp:lastModifiedBy>
  <cp:lastPrinted>2026-03-18T19:04:29Z</cp:lastPrinted>
  <dcterms:created xsi:type="dcterms:W3CDTF">2024-07-10T14:48:57Z</dcterms:created>
  <dcterms:modified xsi:type="dcterms:W3CDTF">2026-04-08T10:07:44Z</dcterms:modified>
</cp:coreProperties>
</file>