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c3c9615714693b5/Desktop/Clerk - General/Monthly Budget Reports/2025-26/"/>
    </mc:Choice>
  </mc:AlternateContent>
  <xr:revisionPtr revIDLastSave="4" documentId="8_{3B3803DC-B195-4D61-B39E-6E09A6C03F27}" xr6:coauthVersionLast="47" xr6:coauthVersionMax="47" xr10:uidLastSave="{303A3A3F-BF69-41CA-85DE-AFC359459F33}"/>
  <bookViews>
    <workbookView xWindow="-120" yWindow="-120" windowWidth="26640" windowHeight="14370" xr2:uid="{90B392CA-34F5-4D2E-BFBF-6ED576880F90}"/>
  </bookViews>
  <sheets>
    <sheet name="Monthly monitoring &amp; reconcilia" sheetId="1" r:id="rId1"/>
    <sheet name="Reserves" sheetId="3" r:id="rId2"/>
    <sheet name="GRANT MOVEMENTS" sheetId="5" r:id="rId3"/>
    <sheet name="VAT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" i="1" l="1"/>
  <c r="S8" i="5" l="1"/>
  <c r="E22" i="3"/>
  <c r="H10" i="5"/>
  <c r="D48" i="1"/>
  <c r="D23" i="1"/>
  <c r="S11" i="5"/>
  <c r="M22" i="3"/>
  <c r="P11" i="5"/>
  <c r="M79" i="1"/>
  <c r="M78" i="1"/>
  <c r="M31" i="1"/>
  <c r="M23" i="1"/>
  <c r="M30" i="1"/>
  <c r="M33" i="1"/>
  <c r="M18" i="1"/>
  <c r="M10" i="1"/>
  <c r="M55" i="1"/>
  <c r="T11" i="5" l="1"/>
  <c r="T8" i="5"/>
  <c r="F12" i="5"/>
  <c r="C26" i="3"/>
  <c r="C30" i="3" s="1"/>
  <c r="L27" i="1" l="1"/>
  <c r="L23" i="1"/>
  <c r="L55" i="1"/>
  <c r="L31" i="1"/>
  <c r="O12" i="1"/>
  <c r="P12" i="1" s="1"/>
  <c r="P22" i="3"/>
  <c r="S9" i="5"/>
  <c r="S10" i="5"/>
  <c r="T10" i="5" s="1"/>
  <c r="C48" i="1"/>
  <c r="N12" i="5"/>
  <c r="O12" i="5"/>
  <c r="P12" i="5"/>
  <c r="Q12" i="5"/>
  <c r="R12" i="5"/>
  <c r="M12" i="5"/>
  <c r="L12" i="5"/>
  <c r="K12" i="5"/>
  <c r="J12" i="5"/>
  <c r="I12" i="5"/>
  <c r="H12" i="5"/>
  <c r="G12" i="5"/>
  <c r="E12" i="5"/>
  <c r="K55" i="1"/>
  <c r="K39" i="1"/>
  <c r="K23" i="1"/>
  <c r="K31" i="1"/>
  <c r="J78" i="1"/>
  <c r="J55" i="1"/>
  <c r="J48" i="1"/>
  <c r="J35" i="1"/>
  <c r="J32" i="1"/>
  <c r="J31" i="1"/>
  <c r="I55" i="1"/>
  <c r="I23" i="1"/>
  <c r="I39" i="1"/>
  <c r="I48" i="1"/>
  <c r="I44" i="1"/>
  <c r="I31" i="1"/>
  <c r="H31" i="1"/>
  <c r="H23" i="1"/>
  <c r="H55" i="1"/>
  <c r="G31" i="1"/>
  <c r="G55" i="1"/>
  <c r="G33" i="1"/>
  <c r="G23" i="1"/>
  <c r="G32" i="1"/>
  <c r="G36" i="1"/>
  <c r="G18" i="1"/>
  <c r="C24" i="2"/>
  <c r="C23" i="2"/>
  <c r="C22" i="2"/>
  <c r="G10" i="3"/>
  <c r="F23" i="1"/>
  <c r="F31" i="1"/>
  <c r="F46" i="1"/>
  <c r="F55" i="1"/>
  <c r="F38" i="1"/>
  <c r="F18" i="1"/>
  <c r="E55" i="1"/>
  <c r="E48" i="1"/>
  <c r="E23" i="1"/>
  <c r="E43" i="1"/>
  <c r="E31" i="1"/>
  <c r="E18" i="1"/>
  <c r="E28" i="1"/>
  <c r="E9" i="1"/>
  <c r="B22" i="3"/>
  <c r="T9" i="5" l="1"/>
  <c r="S12" i="5"/>
  <c r="T12" i="5"/>
  <c r="D55" i="1"/>
  <c r="D27" i="1"/>
  <c r="D26" i="1"/>
  <c r="D31" i="1"/>
  <c r="D36" i="1"/>
  <c r="D14" i="1"/>
  <c r="D10" i="3"/>
  <c r="C31" i="1"/>
  <c r="C44" i="1"/>
  <c r="C79" i="1"/>
  <c r="C78" i="1"/>
  <c r="C55" i="1"/>
  <c r="C34" i="1"/>
  <c r="C23" i="1"/>
  <c r="C30" i="1"/>
  <c r="C37" i="1"/>
  <c r="C22" i="1"/>
  <c r="C18" i="1"/>
  <c r="C14" i="1"/>
  <c r="O21" i="1"/>
  <c r="O20" i="1"/>
  <c r="P20" i="1" s="1"/>
  <c r="O19" i="1"/>
  <c r="P19" i="1" s="1"/>
  <c r="B21" i="1"/>
  <c r="D78" i="2"/>
  <c r="I78" i="2" s="1"/>
  <c r="P21" i="1" l="1"/>
  <c r="D67" i="1"/>
  <c r="E67" i="1"/>
  <c r="F67" i="1"/>
  <c r="G67" i="1"/>
  <c r="H67" i="1"/>
  <c r="I67" i="1"/>
  <c r="J67" i="1"/>
  <c r="K67" i="1"/>
  <c r="L67" i="1"/>
  <c r="M67" i="1"/>
  <c r="N67" i="1"/>
  <c r="H78" i="2"/>
  <c r="D64" i="2"/>
  <c r="I64" i="2" s="1"/>
  <c r="O33" i="1"/>
  <c r="P33" i="1" s="1"/>
  <c r="H64" i="2" l="1"/>
  <c r="O47" i="1" l="1"/>
  <c r="P47" i="1" s="1"/>
  <c r="O13" i="1"/>
  <c r="P13" i="1" s="1"/>
  <c r="D47" i="2"/>
  <c r="I47" i="2" s="1"/>
  <c r="H47" i="2" l="1"/>
  <c r="D39" i="2"/>
  <c r="I39" i="2" s="1"/>
  <c r="D28" i="2"/>
  <c r="I28" i="2" s="1"/>
  <c r="O25" i="1"/>
  <c r="P25" i="1" s="1"/>
  <c r="H39" i="2" l="1"/>
  <c r="H28" i="2" l="1"/>
  <c r="P28" i="3"/>
  <c r="O26" i="3"/>
  <c r="O30" i="3" s="1"/>
  <c r="N26" i="3"/>
  <c r="N30" i="3" s="1"/>
  <c r="M26" i="3"/>
  <c r="M30" i="3" s="1"/>
  <c r="L26" i="3"/>
  <c r="L30" i="3" s="1"/>
  <c r="K26" i="3"/>
  <c r="K30" i="3" s="1"/>
  <c r="J26" i="3"/>
  <c r="J30" i="3" s="1"/>
  <c r="I26" i="3"/>
  <c r="I30" i="3" s="1"/>
  <c r="H26" i="3"/>
  <c r="H30" i="3" s="1"/>
  <c r="G26" i="3"/>
  <c r="G30" i="3" s="1"/>
  <c r="F26" i="3"/>
  <c r="F30" i="3" s="1"/>
  <c r="B26" i="3"/>
  <c r="B30" i="3" s="1"/>
  <c r="P24" i="3"/>
  <c r="P20" i="3"/>
  <c r="P18" i="3"/>
  <c r="P16" i="3"/>
  <c r="P14" i="3"/>
  <c r="P12" i="3"/>
  <c r="D26" i="3"/>
  <c r="D30" i="3" s="1"/>
  <c r="O44" i="1"/>
  <c r="P44" i="1" s="1"/>
  <c r="D20" i="2"/>
  <c r="O45" i="1"/>
  <c r="P45" i="1" s="1"/>
  <c r="D14" i="2"/>
  <c r="O40" i="1"/>
  <c r="P40" i="1" s="1"/>
  <c r="D9" i="2"/>
  <c r="O75" i="1"/>
  <c r="O41" i="1"/>
  <c r="P41" i="1" s="1"/>
  <c r="O42" i="1"/>
  <c r="P42" i="1" s="1"/>
  <c r="O43" i="1"/>
  <c r="P43" i="1" s="1"/>
  <c r="O9" i="1"/>
  <c r="O10" i="1"/>
  <c r="P10" i="1" s="1"/>
  <c r="C67" i="1"/>
  <c r="O11" i="1"/>
  <c r="P11" i="1" s="1"/>
  <c r="H9" i="2" l="1"/>
  <c r="I9" i="2"/>
  <c r="O18" i="1"/>
  <c r="P10" i="3"/>
  <c r="H20" i="2"/>
  <c r="I20" i="2"/>
  <c r="H14" i="2"/>
  <c r="I14" i="2"/>
  <c r="E26" i="3"/>
  <c r="E30" i="3" s="1"/>
  <c r="O46" i="1"/>
  <c r="P46" i="1" s="1"/>
  <c r="D70" i="2"/>
  <c r="D58" i="2"/>
  <c r="D53" i="2"/>
  <c r="D33" i="2"/>
  <c r="I70" i="2" l="1"/>
  <c r="H70" i="2"/>
  <c r="P26" i="3"/>
  <c r="P30" i="3" s="1"/>
  <c r="I58" i="2"/>
  <c r="H58" i="2"/>
  <c r="H33" i="2"/>
  <c r="I33" i="2"/>
  <c r="I53" i="2"/>
  <c r="H53" i="2"/>
  <c r="D81" i="2"/>
  <c r="K64" i="2" l="1"/>
  <c r="K58" i="2"/>
  <c r="C57" i="1"/>
  <c r="C73" i="1" s="1"/>
  <c r="O80" i="1"/>
  <c r="N80" i="1"/>
  <c r="M80" i="1"/>
  <c r="L80" i="1"/>
  <c r="K80" i="1"/>
  <c r="J80" i="1"/>
  <c r="I80" i="1"/>
  <c r="H80" i="1"/>
  <c r="G80" i="1"/>
  <c r="F80" i="1"/>
  <c r="C80" i="1"/>
  <c r="E80" i="1"/>
  <c r="D80" i="1"/>
  <c r="B80" i="1"/>
  <c r="C70" i="1" s="1"/>
  <c r="N74" i="1"/>
  <c r="M74" i="1"/>
  <c r="L74" i="1"/>
  <c r="K74" i="1"/>
  <c r="J74" i="1"/>
  <c r="I74" i="1"/>
  <c r="H74" i="1"/>
  <c r="G74" i="1"/>
  <c r="F74" i="1"/>
  <c r="E74" i="1"/>
  <c r="D74" i="1"/>
  <c r="P67" i="1"/>
  <c r="B67" i="1"/>
  <c r="O64" i="1"/>
  <c r="O63" i="1"/>
  <c r="M57" i="1"/>
  <c r="M73" i="1" s="1"/>
  <c r="L57" i="1"/>
  <c r="L73" i="1" s="1"/>
  <c r="K57" i="1"/>
  <c r="K73" i="1" s="1"/>
  <c r="H57" i="1"/>
  <c r="H73" i="1" s="1"/>
  <c r="G57" i="1"/>
  <c r="G73" i="1" s="1"/>
  <c r="B57" i="1"/>
  <c r="O56" i="1"/>
  <c r="N57" i="1"/>
  <c r="N73" i="1" s="1"/>
  <c r="J57" i="1"/>
  <c r="J73" i="1" s="1"/>
  <c r="I57" i="1"/>
  <c r="I73" i="1" s="1"/>
  <c r="F57" i="1"/>
  <c r="F73" i="1" s="1"/>
  <c r="E57" i="1"/>
  <c r="E73" i="1" s="1"/>
  <c r="D57" i="1"/>
  <c r="D73" i="1" s="1"/>
  <c r="B49" i="1"/>
  <c r="O48" i="1"/>
  <c r="P48" i="1" s="1"/>
  <c r="O39" i="1"/>
  <c r="P39" i="1" s="1"/>
  <c r="O38" i="1"/>
  <c r="P38" i="1" s="1"/>
  <c r="O37" i="1"/>
  <c r="P37" i="1" s="1"/>
  <c r="O36" i="1"/>
  <c r="P36" i="1" s="1"/>
  <c r="O35" i="1"/>
  <c r="P35" i="1" s="1"/>
  <c r="O34" i="1"/>
  <c r="P34" i="1" s="1"/>
  <c r="O32" i="1"/>
  <c r="P32" i="1" s="1"/>
  <c r="O31" i="1"/>
  <c r="P31" i="1" s="1"/>
  <c r="O30" i="1"/>
  <c r="P30" i="1" s="1"/>
  <c r="O29" i="1"/>
  <c r="P29" i="1" s="1"/>
  <c r="O28" i="1"/>
  <c r="P28" i="1" s="1"/>
  <c r="O27" i="1"/>
  <c r="P27" i="1" s="1"/>
  <c r="O26" i="1"/>
  <c r="P26" i="1" s="1"/>
  <c r="O24" i="1"/>
  <c r="P24" i="1" s="1"/>
  <c r="L49" i="1"/>
  <c r="L72" i="1" s="1"/>
  <c r="K49" i="1"/>
  <c r="K72" i="1" s="1"/>
  <c r="H49" i="1"/>
  <c r="H72" i="1" s="1"/>
  <c r="F49" i="1"/>
  <c r="F72" i="1" s="1"/>
  <c r="E49" i="1"/>
  <c r="E72" i="1" s="1"/>
  <c r="D49" i="1"/>
  <c r="D72" i="1" s="1"/>
  <c r="O23" i="1"/>
  <c r="P23" i="1" s="1"/>
  <c r="I49" i="1"/>
  <c r="I72" i="1" s="1"/>
  <c r="O22" i="1"/>
  <c r="P22" i="1" s="1"/>
  <c r="N49" i="1"/>
  <c r="N72" i="1" s="1"/>
  <c r="M49" i="1"/>
  <c r="M72" i="1" s="1"/>
  <c r="J49" i="1"/>
  <c r="J72" i="1" s="1"/>
  <c r="G49" i="1"/>
  <c r="G72" i="1" s="1"/>
  <c r="C49" i="1"/>
  <c r="C72" i="1" s="1"/>
  <c r="M15" i="1"/>
  <c r="M71" i="1" s="1"/>
  <c r="J15" i="1"/>
  <c r="J71" i="1" s="1"/>
  <c r="I15" i="1"/>
  <c r="I71" i="1" s="1"/>
  <c r="F15" i="1"/>
  <c r="F71" i="1" s="1"/>
  <c r="E15" i="1"/>
  <c r="E71" i="1" s="1"/>
  <c r="D15" i="1"/>
  <c r="D71" i="1" s="1"/>
  <c r="B15" i="1"/>
  <c r="O14" i="1"/>
  <c r="P14" i="1" s="1"/>
  <c r="K15" i="1"/>
  <c r="K71" i="1" s="1"/>
  <c r="P9" i="1"/>
  <c r="L15" i="1"/>
  <c r="L71" i="1" s="1"/>
  <c r="G15" i="1"/>
  <c r="G71" i="1" s="1"/>
  <c r="O8" i="1"/>
  <c r="P8" i="1" s="1"/>
  <c r="H15" i="1"/>
  <c r="H71" i="1" s="1"/>
  <c r="C15" i="1"/>
  <c r="C71" i="1" s="1"/>
  <c r="Q64" i="1" l="1"/>
  <c r="O67" i="1"/>
  <c r="B73" i="1"/>
  <c r="P15" i="1"/>
  <c r="N15" i="1"/>
  <c r="N71" i="1" s="1"/>
  <c r="O55" i="1"/>
  <c r="O15" i="1"/>
  <c r="C74" i="1"/>
  <c r="C75" i="1" s="1"/>
  <c r="O57" i="1" l="1"/>
  <c r="B72" i="1"/>
  <c r="C82" i="1"/>
  <c r="D70" i="1"/>
  <c r="D75" i="1" s="1"/>
  <c r="O49" i="1"/>
  <c r="P18" i="1"/>
  <c r="P49" i="1" l="1"/>
  <c r="Q80" i="1"/>
  <c r="P57" i="1"/>
  <c r="O82" i="1"/>
  <c r="E70" i="1"/>
  <c r="E75" i="1" s="1"/>
  <c r="D82" i="1"/>
  <c r="I44" i="3" l="1"/>
  <c r="F70" i="1"/>
  <c r="F75" i="1" s="1"/>
  <c r="E82" i="1"/>
  <c r="G70" i="1" l="1"/>
  <c r="G75" i="1" s="1"/>
  <c r="F82" i="1"/>
  <c r="G82" i="1" l="1"/>
  <c r="H70" i="1"/>
  <c r="H75" i="1" s="1"/>
  <c r="H82" i="1" l="1"/>
  <c r="I70" i="1"/>
  <c r="I75" i="1" s="1"/>
  <c r="J70" i="1" l="1"/>
  <c r="J75" i="1" s="1"/>
  <c r="I82" i="1"/>
  <c r="K70" i="1" l="1"/>
  <c r="K75" i="1" s="1"/>
  <c r="J82" i="1"/>
  <c r="K82" i="1" l="1"/>
  <c r="L70" i="1"/>
  <c r="L75" i="1" s="1"/>
  <c r="L82" i="1" l="1"/>
  <c r="M70" i="1"/>
  <c r="M75" i="1" s="1"/>
  <c r="N70" i="1" l="1"/>
  <c r="M82" i="1"/>
  <c r="N7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Whitehead</author>
    <author>sarah gregory</author>
  </authors>
  <commentList>
    <comment ref="M10" authorId="0" shapeId="0" xr:uid="{D5A66F89-BC03-4A7C-AC19-AB026460AA39}">
      <text>
        <r>
          <rPr>
            <b/>
            <sz val="9"/>
            <color rgb="FF000000"/>
            <rFont val="Tahoma"/>
            <family val="2"/>
          </rPr>
          <t>John Whitehead: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Wayleave</t>
        </r>
      </text>
    </comment>
    <comment ref="C11" authorId="0" shapeId="0" xr:uid="{C09D43C1-C8F5-4CD2-915F-04BED63043B7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MSDC grant (via Codd.Centre) for 3
 pinic benches)</t>
        </r>
      </text>
    </comment>
    <comment ref="M35" authorId="1" shapeId="0" xr:uid="{D51DE686-8227-B44F-88C3-65BB85000E72}">
      <text>
        <r>
          <rPr>
            <b/>
            <sz val="10"/>
            <color rgb="FF000000"/>
            <rFont val="Tahoma"/>
            <family val="2"/>
          </rPr>
          <t>sarah gregory: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Glasdons (ex VAT) plus reimbursement to S Gregory (VAT inc)</t>
        </r>
      </text>
    </comment>
    <comment ref="E44" authorId="0" shapeId="0" xr:uid="{817FDC04-7C3E-4975-8EA3-90E0EBDEEEF7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Hudson Group - replacement sign Brrom Hill £180
</t>
        </r>
      </text>
    </comment>
    <comment ref="D45" authorId="0" shapeId="0" xr:uid="{E76EDE63-57A4-4081-82A9-BF3B729C5BEE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Ground fixing kit for litter bin
</t>
        </r>
      </text>
    </comment>
    <comment ref="D48" authorId="0" shapeId="0" xr:uid="{CEA3F121-2BE3-42DE-911C-45B39880E4B1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MSDC Grant part payent of Low Carbon Products picnic benches)</t>
        </r>
      </text>
    </comment>
    <comment ref="M48" authorId="1" shapeId="0" xr:uid="{330B64D8-0433-F84A-85C8-ED889C279352}">
      <text>
        <r>
          <rPr>
            <b/>
            <sz val="10"/>
            <color rgb="FF000000"/>
            <rFont val="Tahoma"/>
            <family val="2"/>
          </rPr>
          <t>sarah gregory: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Blackthorne-BH (ex VAT) + reimbrsement to S Gregory oak sleeper (VAT Inc)</t>
        </r>
      </text>
    </comment>
    <comment ref="D64" authorId="0" shapeId="0" xr:uid="{A094634F-1CE4-4094-A8CE-3B8A70536304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Balance of Picnic benches not covered by MSDC grant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Whitehead</author>
  </authors>
  <commentList>
    <comment ref="F14" authorId="0" shapeId="0" xr:uid="{AB5D4BBB-B7FC-4738-8BD5-C5A5F1DE9CEC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Hudson Group - replacement sign Brrom Hill £180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Whitehead</author>
    <author>sarah gregory</author>
  </authors>
  <commentList>
    <comment ref="F8" authorId="0" shapeId="0" xr:uid="{F134A19B-3949-402F-B3C3-AA9951F12C31}">
      <text>
        <r>
          <rPr>
            <b/>
            <sz val="9"/>
            <color rgb="FF000000"/>
            <rFont val="Tahoma"/>
            <family val="2"/>
          </rPr>
          <t>John Whitehead: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Prior year spend not allocated correctly when spent £23.40</t>
        </r>
      </text>
    </comment>
    <comment ref="G8" authorId="0" shapeId="0" xr:uid="{3EA14032-091C-4CCB-B2BB-A464AE495790}">
      <text>
        <r>
          <rPr>
            <b/>
            <sz val="9"/>
            <color rgb="FF000000"/>
            <rFont val="Tahoma"/>
            <family val="2"/>
          </rPr>
          <t>John Whitehead: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TCC Room hire
</t>
        </r>
      </text>
    </comment>
    <comment ref="L8" authorId="0" shapeId="0" xr:uid="{D0DA999F-9833-4BF1-98B0-7D97ED5C3B2D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TCC external printing
</t>
        </r>
      </text>
    </comment>
    <comment ref="M8" authorId="0" shapeId="0" xr:uid="{E713B235-A85F-4FC8-A1F2-CED90428314A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Byte Design</t>
        </r>
      </text>
    </comment>
    <comment ref="N8" authorId="0" shapeId="0" xr:uid="{D91151B8-2BE8-4F8F-9AB1-9B118BB09C50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Byte Design</t>
        </r>
      </text>
    </comment>
    <comment ref="H9" authorId="0" shapeId="0" xr:uid="{FB3F8945-86B9-4C94-ACA0-14F6EC4B1D41}">
      <text>
        <r>
          <rPr>
            <b/>
            <sz val="9"/>
            <color rgb="FF000000"/>
            <rFont val="Tahoma"/>
            <family val="2"/>
          </rPr>
          <t>John Whitehead: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Hartleys Gardens</t>
        </r>
      </text>
    </comment>
    <comment ref="H10" authorId="0" shapeId="0" xr:uid="{1747B042-3A2B-4384-9887-EF2F3B1BEEBD}">
      <text>
        <r>
          <rPr>
            <b/>
            <sz val="9"/>
            <color rgb="FF000000"/>
            <rFont val="Tahoma"/>
            <family val="2"/>
          </rPr>
          <t>John Whitehead: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ex Lloyds credit card</t>
        </r>
      </text>
    </comment>
    <comment ref="I10" authorId="0" shapeId="0" xr:uid="{39B1B382-F00B-4C06-835D-4F7015F82533}">
      <text>
        <r>
          <rPr>
            <b/>
            <sz val="9"/>
            <color rgb="FF000000"/>
            <rFont val="Tahoma"/>
            <family val="2"/>
          </rPr>
          <t>John Whitehead: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Clarkes of Walsham</t>
        </r>
      </text>
    </comment>
    <comment ref="Q10" authorId="1" shapeId="0" xr:uid="{9441CCB5-B9E4-9E43-887F-90D0EB9963B1}">
      <text>
        <r>
          <rPr>
            <b/>
            <sz val="10"/>
            <color rgb="FF000000"/>
            <rFont val="Tahoma"/>
            <family val="2"/>
          </rPr>
          <t>sarah gregory: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Cost reimbursed to S gregory for oak sleeper (incl VAT)</t>
        </r>
      </text>
    </comment>
    <comment ref="Q11" authorId="1" shapeId="0" xr:uid="{6950CFC9-CB07-A646-BB62-216312DF7763}">
      <text>
        <r>
          <rPr>
            <b/>
            <sz val="10"/>
            <color rgb="FF000000"/>
            <rFont val="Tahoma"/>
            <family val="2"/>
          </rPr>
          <t>sarah gregory: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Blackthorne Landscapes-BH (ex VAT)</t>
        </r>
      </text>
    </comment>
  </commentList>
</comments>
</file>

<file path=xl/sharedStrings.xml><?xml version="1.0" encoding="utf-8"?>
<sst xmlns="http://schemas.openxmlformats.org/spreadsheetml/2006/main" count="263" uniqueCount="200">
  <si>
    <t>Budget</t>
  </si>
  <si>
    <t>Variance</t>
  </si>
  <si>
    <t>April</t>
  </si>
  <si>
    <t>May</t>
  </si>
  <si>
    <t>June</t>
  </si>
  <si>
    <t>July</t>
  </si>
  <si>
    <t>August</t>
  </si>
  <si>
    <t>Sept</t>
  </si>
  <si>
    <t>Oct</t>
  </si>
  <si>
    <t>Nov</t>
  </si>
  <si>
    <t>Dec</t>
  </si>
  <si>
    <t>Jan</t>
  </si>
  <si>
    <t>Feb</t>
  </si>
  <si>
    <t>March</t>
  </si>
  <si>
    <t>to Budget</t>
  </si>
  <si>
    <t>INCOME</t>
  </si>
  <si>
    <t>Precept</t>
  </si>
  <si>
    <t>Interest</t>
  </si>
  <si>
    <t>Other income</t>
  </si>
  <si>
    <t>Allotment Rents</t>
  </si>
  <si>
    <t>TOTAL INCOME</t>
  </si>
  <si>
    <t>EXPENDITURE</t>
  </si>
  <si>
    <t>Insurance</t>
  </si>
  <si>
    <t>Subscriptions</t>
  </si>
  <si>
    <t>TOTAL EXPENDITURE</t>
  </si>
  <si>
    <t xml:space="preserve">VAT </t>
  </si>
  <si>
    <t>VAT on Expenditure</t>
  </si>
  <si>
    <t>VAT received (recovered from HMRC)</t>
  </si>
  <si>
    <t>Net VAT in month</t>
  </si>
  <si>
    <t>COMMUNITY INFRASTRUCTURE LEVY</t>
  </si>
  <si>
    <t>CIL Receipts</t>
  </si>
  <si>
    <t>CIL Expenditure</t>
  </si>
  <si>
    <t>Transfers to CIL Reserve</t>
  </si>
  <si>
    <t>Transfers from CIL Reserve</t>
  </si>
  <si>
    <t>CASHFLOW &amp; BANK RECONCILIATION</t>
  </si>
  <si>
    <t>Opening bank balance</t>
  </si>
  <si>
    <t>Income</t>
  </si>
  <si>
    <t>Expenditure</t>
  </si>
  <si>
    <t>Net VAT (outgoing)/received</t>
  </si>
  <si>
    <t>CIL Receipts - Expenditure</t>
  </si>
  <si>
    <t>Calculated Closing bank balance</t>
  </si>
  <si>
    <t>Closing bank statements</t>
  </si>
  <si>
    <t>Community Bank Account</t>
  </si>
  <si>
    <t>CIL Parish Reserve (BP A/C 1)</t>
  </si>
  <si>
    <t>MONTHLY RECONCILIATION DIFFERENCE</t>
  </si>
  <si>
    <t>CODDENHAM PARISH COUNCIL</t>
  </si>
  <si>
    <t>FINANCIAL MONITORING REPORT 2024/25</t>
  </si>
  <si>
    <t>Audit fees</t>
  </si>
  <si>
    <t>Clerk's training</t>
  </si>
  <si>
    <t>Postage, telecoms, consumables</t>
  </si>
  <si>
    <t>Software licences</t>
  </si>
  <si>
    <t>s137 payments</t>
  </si>
  <si>
    <t>Bank charges</t>
  </si>
  <si>
    <t>Web fees</t>
  </si>
  <si>
    <t>Data protection</t>
  </si>
  <si>
    <t>Grounds maintenance</t>
  </si>
  <si>
    <t>Waste management</t>
  </si>
  <si>
    <t>Tree surgery</t>
  </si>
  <si>
    <t>Info box</t>
  </si>
  <si>
    <t>CIO/TCC contingency</t>
  </si>
  <si>
    <t>Hall rental</t>
  </si>
  <si>
    <t>Public Works Loan Board</t>
  </si>
  <si>
    <t>CIO/TCC Recreation Ground</t>
  </si>
  <si>
    <t>Difference?</t>
  </si>
  <si>
    <t>agreed to Monitoring Report</t>
  </si>
  <si>
    <t>Cumulative VAT to reclaim</t>
  </si>
  <si>
    <t>Allotment Expenditure</t>
  </si>
  <si>
    <t>MSDC Localities Grant</t>
  </si>
  <si>
    <t>MSDC Localities Grant expenditure</t>
  </si>
  <si>
    <t>STILL TO BE ALLOCATED (s/be ZERO)</t>
  </si>
  <si>
    <t>Street lighting running costs</t>
  </si>
  <si>
    <t xml:space="preserve">Opening </t>
  </si>
  <si>
    <t>Closing</t>
  </si>
  <si>
    <t>Apr</t>
  </si>
  <si>
    <t>Aug</t>
  </si>
  <si>
    <t>Mar</t>
  </si>
  <si>
    <t>Balance</t>
  </si>
  <si>
    <t>EARMARKED RESERVES</t>
  </si>
  <si>
    <t>Allotments</t>
  </si>
  <si>
    <t>Election Costs</t>
  </si>
  <si>
    <t>Green Spaces</t>
  </si>
  <si>
    <t>PWLB Loan</t>
  </si>
  <si>
    <t>Street Lighting</t>
  </si>
  <si>
    <t>Training (new Cllrs)</t>
  </si>
  <si>
    <t>CIL</t>
  </si>
  <si>
    <t>TOTAL- EARMARKED</t>
  </si>
  <si>
    <t>GENERAL RESERVE</t>
  </si>
  <si>
    <t>TOTAL RESERVES</t>
  </si>
  <si>
    <t>as per</t>
  </si>
  <si>
    <t>AGAR</t>
  </si>
  <si>
    <t>Gardemau Trust Grant</t>
  </si>
  <si>
    <t>Actual</t>
  </si>
  <si>
    <t>External Printing/Newsletters</t>
  </si>
  <si>
    <t>FINANCIAL MONITORING REPORT 2025/26</t>
  </si>
  <si>
    <t xml:space="preserve"> 25/26</t>
  </si>
  <si>
    <t xml:space="preserve"> YTD 25/26</t>
  </si>
  <si>
    <t>at 1/4/25</t>
  </si>
  <si>
    <t>at 30/4/25</t>
  </si>
  <si>
    <t>at 31/5/25</t>
  </si>
  <si>
    <t>at 31/7/25</t>
  </si>
  <si>
    <t>at 30/6/25</t>
  </si>
  <si>
    <t>at 31/8/25</t>
  </si>
  <si>
    <t>at 30/9/25</t>
  </si>
  <si>
    <t>at 31/10/25</t>
  </si>
  <si>
    <t>at 30/11/25</t>
  </si>
  <si>
    <t>at 31/12/25</t>
  </si>
  <si>
    <t>at 31/1/26</t>
  </si>
  <si>
    <t>at 28/2/26</t>
  </si>
  <si>
    <t>at 31/3/26</t>
  </si>
  <si>
    <t>RESERVES MONITORING 2025-26</t>
  </si>
  <si>
    <t>Bal 1/4/25</t>
  </si>
  <si>
    <t>VAT Expenditure in 2025-26</t>
  </si>
  <si>
    <t>April '25</t>
  </si>
  <si>
    <t>May '25</t>
  </si>
  <si>
    <t>June '25</t>
  </si>
  <si>
    <t>July '25</t>
  </si>
  <si>
    <t>August '25</t>
  </si>
  <si>
    <t>September '25</t>
  </si>
  <si>
    <t>October '25</t>
  </si>
  <si>
    <t>November '25</t>
  </si>
  <si>
    <t>December '25</t>
  </si>
  <si>
    <t>January '26</t>
  </si>
  <si>
    <t>February '26</t>
  </si>
  <si>
    <t>March '26</t>
  </si>
  <si>
    <t>Cllr Training</t>
  </si>
  <si>
    <t>Clerks's salary (general duties)</t>
  </si>
  <si>
    <t>Clerks's salary (training)</t>
  </si>
  <si>
    <t>Clerks's salary (FOI requests)</t>
  </si>
  <si>
    <t>Clerk's salary - Employer NI</t>
  </si>
  <si>
    <t>Churchyard Maintenance</t>
  </si>
  <si>
    <t>SCC Grant expenditure</t>
  </si>
  <si>
    <t>Wright Consulting</t>
  </si>
  <si>
    <t>SALC</t>
  </si>
  <si>
    <t>Suffolk County Council</t>
  </si>
  <si>
    <t>O2</t>
  </si>
  <si>
    <t>Jun</t>
  </si>
  <si>
    <t>Jul</t>
  </si>
  <si>
    <t>Sep</t>
  </si>
  <si>
    <t>Clarkes of Walsham</t>
  </si>
  <si>
    <t>MSDC Grants</t>
  </si>
  <si>
    <t>Amazon (3 invoices)</t>
  </si>
  <si>
    <t>UK Safety Store</t>
  </si>
  <si>
    <t>Eastwood trees</t>
  </si>
  <si>
    <t>B&amp;Q</t>
  </si>
  <si>
    <t>Amazon UK branch</t>
  </si>
  <si>
    <t>Amazon EU SarL</t>
  </si>
  <si>
    <t>Eastwood Trees</t>
  </si>
  <si>
    <t>Mid Suffolk District Council</t>
  </si>
  <si>
    <t>Wright Construction</t>
  </si>
  <si>
    <t>PKF Littlejohn</t>
  </si>
  <si>
    <t>Byte Design</t>
  </si>
  <si>
    <t>(ex Llloyds credit card)</t>
  </si>
  <si>
    <t>Blackthorn Landscape</t>
  </si>
  <si>
    <t>Amazon</t>
  </si>
  <si>
    <t>GRANT RECEIPTS &amp; EXPENDITURE 25/26</t>
  </si>
  <si>
    <t>FY</t>
  </si>
  <si>
    <t>Date Rec'd</t>
  </si>
  <si>
    <t>From</t>
  </si>
  <si>
    <t>Amount</t>
  </si>
  <si>
    <t>Purpose</t>
  </si>
  <si>
    <t>oct</t>
  </si>
  <si>
    <t>Remaining</t>
  </si>
  <si>
    <t>Notes</t>
  </si>
  <si>
    <t>24/25</t>
  </si>
  <si>
    <t>30.12.24</t>
  </si>
  <si>
    <t>MSDC-localities</t>
  </si>
  <si>
    <t xml:space="preserve">3Rs </t>
  </si>
  <si>
    <t>Hall hire/Printing/Byte</t>
  </si>
  <si>
    <t>03.03.25</t>
  </si>
  <si>
    <t>BH-cutting</t>
  </si>
  <si>
    <t>24.03.25</t>
  </si>
  <si>
    <t>benches/litter sign</t>
  </si>
  <si>
    <t>Sign/benches ( wood)</t>
  </si>
  <si>
    <t>HISTORIC</t>
  </si>
  <si>
    <t>21/22</t>
  </si>
  <si>
    <t>MSDC-Localities</t>
  </si>
  <si>
    <t>22/23</t>
  </si>
  <si>
    <t>02.10.23</t>
  </si>
  <si>
    <t>MSDC- PIYP</t>
  </si>
  <si>
    <t>23/24</t>
  </si>
  <si>
    <t>MSDC localities</t>
  </si>
  <si>
    <t>Gardemau</t>
  </si>
  <si>
    <t>b/f from 24/25</t>
  </si>
  <si>
    <t>Items on lloyds credit card</t>
  </si>
  <si>
    <t>MSDC-PIYP</t>
  </si>
  <si>
    <t>19.01.26</t>
  </si>
  <si>
    <t>25/26</t>
  </si>
  <si>
    <t>04.03.24</t>
  </si>
  <si>
    <t>21.10.24</t>
  </si>
  <si>
    <t>Adjust to</t>
  </si>
  <si>
    <t>Opening</t>
  </si>
  <si>
    <t>Adjust</t>
  </si>
  <si>
    <t>to date</t>
  </si>
  <si>
    <t>Spent</t>
  </si>
  <si>
    <t>MSDC Other Grants (PIYP)</t>
  </si>
  <si>
    <t>VAT Claim submitted Feb'26</t>
  </si>
  <si>
    <t>Blackthorn Landscapes</t>
  </si>
  <si>
    <t>Glasdon UK Ltd</t>
  </si>
  <si>
    <t>add</t>
  </si>
  <si>
    <r>
      <rPr>
        <sz val="11"/>
        <rFont val="Calibri (Body)"/>
      </rPr>
      <t>All payments in yellow need to be set againt the MSDC grant for 2025/6 and backed out of general expensditure to the extent they are still there</t>
    </r>
    <r>
      <rPr>
        <sz val="11"/>
        <rFont val="Calibri"/>
        <family val="2"/>
        <scheme val="minor"/>
      </rPr>
      <t xml:space="preserve">. The payment in green is not relevant for FY25/6 but is relevant to amount of grant spent.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</si>
</sst>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£&quot;#,##0.00;[Red]\-&quot;£&quot;#,##0.00"/>
    <numFmt numFmtId="43" formatCode="_-* #,##0.00_-;\-* #,##0.00_-;_-* &quot;-&quot;??_-;_-@_-"/>
    <numFmt numFmtId="164" formatCode="&quot;£&quot;#,##0_);[Red]\(&quot;£&quot;#,##0\)"/>
    <numFmt numFmtId="165" formatCode="#,##0;\(#,##0\)"/>
    <numFmt numFmtId="166" formatCode="_-* #,##0_-;\-* #,##0_-;_-* &quot;-&quot;??_-;_-@_-"/>
    <numFmt numFmtId="167" formatCode="#,##0.00;\(#,##0.00\)"/>
    <numFmt numFmtId="168" formatCode="&quot;£&quot;#,##0.0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 (Body)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1"/>
      <name val="Calibri (Body)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2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/>
    <xf numFmtId="165" fontId="0" fillId="0" borderId="3" xfId="0" applyNumberFormat="1" applyBorder="1"/>
    <xf numFmtId="166" fontId="0" fillId="0" borderId="0" xfId="1" applyNumberFormat="1" applyFont="1"/>
    <xf numFmtId="166" fontId="0" fillId="0" borderId="1" xfId="1" applyNumberFormat="1" applyFont="1" applyBorder="1"/>
    <xf numFmtId="165" fontId="0" fillId="0" borderId="3" xfId="1" applyNumberFormat="1" applyFont="1" applyBorder="1"/>
    <xf numFmtId="166" fontId="3" fillId="0" borderId="0" xfId="1" applyNumberFormat="1" applyFont="1"/>
    <xf numFmtId="43" fontId="1" fillId="0" borderId="1" xfId="1" applyFont="1" applyFill="1" applyBorder="1"/>
    <xf numFmtId="43" fontId="7" fillId="0" borderId="0" xfId="1" applyFont="1"/>
    <xf numFmtId="43" fontId="1" fillId="0" borderId="0" xfId="1" applyFont="1"/>
    <xf numFmtId="43" fontId="0" fillId="0" borderId="0" xfId="1" applyFont="1"/>
    <xf numFmtId="43" fontId="0" fillId="0" borderId="2" xfId="1" applyFont="1" applyBorder="1"/>
    <xf numFmtId="43" fontId="0" fillId="0" borderId="1" xfId="1" applyFont="1" applyBorder="1"/>
    <xf numFmtId="43" fontId="0" fillId="0" borderId="0" xfId="1" applyFont="1" applyFill="1"/>
    <xf numFmtId="0" fontId="3" fillId="0" borderId="0" xfId="0" applyFont="1"/>
    <xf numFmtId="166" fontId="3" fillId="0" borderId="4" xfId="1" applyNumberFormat="1" applyFont="1" applyBorder="1"/>
    <xf numFmtId="43" fontId="0" fillId="0" borderId="4" xfId="1" applyFont="1" applyBorder="1"/>
    <xf numFmtId="166" fontId="0" fillId="0" borderId="4" xfId="1" applyNumberFormat="1" applyFont="1" applyBorder="1"/>
    <xf numFmtId="43" fontId="8" fillId="0" borderId="0" xfId="1" applyFont="1"/>
    <xf numFmtId="43" fontId="8" fillId="0" borderId="1" xfId="1" applyFont="1" applyBorder="1"/>
    <xf numFmtId="43" fontId="8" fillId="0" borderId="0" xfId="1" applyFont="1" applyBorder="1"/>
    <xf numFmtId="0" fontId="2" fillId="0" borderId="0" xfId="0" applyFont="1"/>
    <xf numFmtId="0" fontId="0" fillId="0" borderId="0" xfId="0" applyAlignment="1">
      <alignment horizontal="right"/>
    </xf>
    <xf numFmtId="166" fontId="3" fillId="0" borderId="5" xfId="1" applyNumberFormat="1" applyFont="1" applyBorder="1"/>
    <xf numFmtId="43" fontId="0" fillId="0" borderId="6" xfId="1" applyFont="1" applyBorder="1"/>
    <xf numFmtId="43" fontId="0" fillId="0" borderId="0" xfId="1" applyFont="1" applyBorder="1"/>
    <xf numFmtId="43" fontId="0" fillId="0" borderId="0" xfId="0" applyNumberFormat="1"/>
    <xf numFmtId="43" fontId="5" fillId="0" borderId="0" xfId="0" applyNumberFormat="1" applyFont="1"/>
    <xf numFmtId="43" fontId="0" fillId="0" borderId="8" xfId="1" applyFont="1" applyBorder="1"/>
    <xf numFmtId="43" fontId="1" fillId="0" borderId="1" xfId="1" applyFont="1" applyBorder="1"/>
    <xf numFmtId="167" fontId="0" fillId="0" borderId="0" xfId="0" applyNumberFormat="1"/>
    <xf numFmtId="167" fontId="0" fillId="0" borderId="0" xfId="1" applyNumberFormat="1" applyFont="1"/>
    <xf numFmtId="43" fontId="3" fillId="0" borderId="9" xfId="1" applyFont="1" applyBorder="1"/>
    <xf numFmtId="0" fontId="9" fillId="0" borderId="0" xfId="0" applyFont="1"/>
    <xf numFmtId="0" fontId="0" fillId="0" borderId="0" xfId="0" quotePrefix="1" applyAlignment="1">
      <alignment horizontal="center"/>
    </xf>
    <xf numFmtId="43" fontId="3" fillId="0" borderId="0" xfId="1" applyFont="1"/>
    <xf numFmtId="43" fontId="0" fillId="0" borderId="9" xfId="0" applyNumberFormat="1" applyBorder="1"/>
    <xf numFmtId="43" fontId="0" fillId="0" borderId="9" xfId="1" applyFont="1" applyBorder="1"/>
    <xf numFmtId="0" fontId="10" fillId="0" borderId="0" xfId="0" applyFont="1"/>
    <xf numFmtId="0" fontId="0" fillId="0" borderId="9" xfId="0" applyBorder="1"/>
    <xf numFmtId="43" fontId="0" fillId="0" borderId="10" xfId="1" applyFont="1" applyBorder="1"/>
    <xf numFmtId="2" fontId="0" fillId="0" borderId="0" xfId="0" applyNumberFormat="1"/>
    <xf numFmtId="0" fontId="0" fillId="0" borderId="0" xfId="0" applyAlignment="1">
      <alignment vertical="top" wrapText="1"/>
    </xf>
    <xf numFmtId="8" fontId="0" fillId="0" borderId="0" xfId="0" applyNumberFormat="1"/>
    <xf numFmtId="0" fontId="0" fillId="0" borderId="0" xfId="0" applyAlignment="1">
      <alignment vertical="top"/>
    </xf>
    <xf numFmtId="43" fontId="0" fillId="0" borderId="11" xfId="1" applyFont="1" applyBorder="1"/>
    <xf numFmtId="0" fontId="0" fillId="0" borderId="3" xfId="0" applyBorder="1" applyAlignment="1">
      <alignment horizontal="center"/>
    </xf>
    <xf numFmtId="166" fontId="3" fillId="0" borderId="0" xfId="1" applyNumberFormat="1" applyFont="1" applyFill="1"/>
    <xf numFmtId="43" fontId="0" fillId="0" borderId="1" xfId="1" applyFont="1" applyFill="1" applyBorder="1"/>
    <xf numFmtId="0" fontId="13" fillId="0" borderId="0" xfId="0" applyFont="1"/>
    <xf numFmtId="167" fontId="0" fillId="0" borderId="9" xfId="0" applyNumberFormat="1" applyBorder="1"/>
    <xf numFmtId="167" fontId="0" fillId="0" borderId="12" xfId="0" applyNumberFormat="1" applyBorder="1"/>
    <xf numFmtId="0" fontId="0" fillId="0" borderId="0" xfId="0" quotePrefix="1"/>
    <xf numFmtId="0" fontId="5" fillId="0" borderId="0" xfId="0" quotePrefix="1" applyFont="1"/>
    <xf numFmtId="43" fontId="14" fillId="0" borderId="0" xfId="1" applyFont="1"/>
    <xf numFmtId="43" fontId="15" fillId="0" borderId="0" xfId="1" applyFont="1"/>
    <xf numFmtId="43" fontId="15" fillId="0" borderId="0" xfId="1" applyFont="1" applyFill="1"/>
    <xf numFmtId="43" fontId="8" fillId="0" borderId="0" xfId="1" applyFont="1" applyFill="1"/>
    <xf numFmtId="166" fontId="1" fillId="0" borderId="0" xfId="1" applyNumberFormat="1" applyFont="1"/>
    <xf numFmtId="0" fontId="2" fillId="0" borderId="2" xfId="0" applyFont="1" applyBorder="1"/>
    <xf numFmtId="166" fontId="2" fillId="0" borderId="2" xfId="1" applyNumberFormat="1" applyFont="1" applyBorder="1"/>
    <xf numFmtId="43" fontId="5" fillId="0" borderId="2" xfId="1" applyFont="1" applyBorder="1"/>
    <xf numFmtId="43" fontId="5" fillId="0" borderId="2" xfId="1" applyFont="1" applyFill="1" applyBorder="1"/>
    <xf numFmtId="2" fontId="3" fillId="0" borderId="0" xfId="0" applyNumberFormat="1" applyFont="1" applyAlignment="1">
      <alignment vertical="top" wrapText="1"/>
    </xf>
    <xf numFmtId="2" fontId="3" fillId="0" borderId="0" xfId="0" applyNumberFormat="1" applyFont="1"/>
    <xf numFmtId="43" fontId="0" fillId="0" borderId="0" xfId="1" applyFont="1" applyAlignment="1">
      <alignment vertical="top" wrapText="1"/>
    </xf>
    <xf numFmtId="43" fontId="0" fillId="0" borderId="0" xfId="1" applyFont="1" applyAlignment="1">
      <alignment vertical="top"/>
    </xf>
    <xf numFmtId="43" fontId="8" fillId="0" borderId="2" xfId="1" applyFont="1" applyBorder="1"/>
    <xf numFmtId="43" fontId="1" fillId="0" borderId="2" xfId="1" applyFont="1" applyBorder="1"/>
    <xf numFmtId="165" fontId="0" fillId="0" borderId="0" xfId="0" applyNumberFormat="1"/>
    <xf numFmtId="166" fontId="0" fillId="0" borderId="0" xfId="0" applyNumberFormat="1"/>
    <xf numFmtId="4" fontId="0" fillId="0" borderId="0" xfId="0" applyNumberFormat="1"/>
    <xf numFmtId="43" fontId="0" fillId="0" borderId="0" xfId="1" applyFont="1" applyAlignment="1">
      <alignment horizontal="right"/>
    </xf>
    <xf numFmtId="43" fontId="0" fillId="0" borderId="3" xfId="1" applyFont="1" applyBorder="1"/>
    <xf numFmtId="43" fontId="0" fillId="0" borderId="7" xfId="1" applyFont="1" applyBorder="1"/>
    <xf numFmtId="43" fontId="0" fillId="0" borderId="0" xfId="1" applyFont="1" applyBorder="1" applyAlignment="1">
      <alignment horizontal="right"/>
    </xf>
    <xf numFmtId="167" fontId="0" fillId="0" borderId="3" xfId="1" applyNumberFormat="1" applyFont="1" applyBorder="1"/>
    <xf numFmtId="0" fontId="0" fillId="0" borderId="13" xfId="0" applyBorder="1"/>
    <xf numFmtId="43" fontId="0" fillId="0" borderId="13" xfId="0" applyNumberFormat="1" applyBorder="1"/>
    <xf numFmtId="0" fontId="5" fillId="0" borderId="13" xfId="0" applyFont="1" applyBorder="1"/>
    <xf numFmtId="43" fontId="5" fillId="0" borderId="0" xfId="1" applyFont="1"/>
    <xf numFmtId="0" fontId="16" fillId="0" borderId="0" xfId="0" applyFont="1"/>
    <xf numFmtId="43" fontId="2" fillId="0" borderId="0" xfId="0" applyNumberFormat="1" applyFont="1"/>
    <xf numFmtId="43" fontId="1" fillId="0" borderId="4" xfId="1" applyFont="1" applyBorder="1"/>
    <xf numFmtId="43" fontId="1" fillId="0" borderId="0" xfId="1" applyFont="1" applyBorder="1"/>
    <xf numFmtId="43" fontId="1" fillId="0" borderId="0" xfId="1" applyFont="1" applyFill="1"/>
    <xf numFmtId="43" fontId="1" fillId="0" borderId="6" xfId="1" applyFont="1" applyBorder="1"/>
    <xf numFmtId="43" fontId="1" fillId="0" borderId="8" xfId="1" applyFont="1" applyBorder="1"/>
    <xf numFmtId="167" fontId="1" fillId="0" borderId="0" xfId="1" applyNumberFormat="1" applyFont="1"/>
    <xf numFmtId="43" fontId="1" fillId="0" borderId="9" xfId="1" applyFont="1" applyBorder="1"/>
    <xf numFmtId="167" fontId="8" fillId="0" borderId="0" xfId="0" applyNumberFormat="1" applyFont="1"/>
    <xf numFmtId="0" fontId="8" fillId="2" borderId="0" xfId="0" applyFont="1" applyFill="1"/>
    <xf numFmtId="0" fontId="15" fillId="2" borderId="0" xfId="0" applyFont="1" applyFill="1"/>
    <xf numFmtId="0" fontId="8" fillId="0" borderId="0" xfId="0" applyFont="1"/>
    <xf numFmtId="0" fontId="8" fillId="0" borderId="0" xfId="0" applyFont="1" applyAlignment="1">
      <alignment wrapText="1"/>
    </xf>
    <xf numFmtId="0" fontId="15" fillId="0" borderId="0" xfId="0" applyFont="1" applyAlignment="1">
      <alignment wrapText="1"/>
    </xf>
    <xf numFmtId="168" fontId="8" fillId="0" borderId="0" xfId="0" applyNumberFormat="1" applyFont="1"/>
    <xf numFmtId="0" fontId="15" fillId="0" borderId="0" xfId="0" applyFont="1"/>
    <xf numFmtId="167" fontId="8" fillId="3" borderId="0" xfId="0" applyNumberFormat="1" applyFont="1" applyFill="1" applyAlignment="1">
      <alignment wrapText="1"/>
    </xf>
    <xf numFmtId="167" fontId="8" fillId="3" borderId="0" xfId="0" applyNumberFormat="1" applyFont="1" applyFill="1"/>
    <xf numFmtId="167" fontId="15" fillId="3" borderId="0" xfId="0" applyNumberFormat="1" applyFont="1" applyFill="1"/>
    <xf numFmtId="0" fontId="15" fillId="2" borderId="0" xfId="0" quotePrefix="1" applyFont="1" applyFill="1"/>
    <xf numFmtId="0" fontId="21" fillId="0" borderId="0" xfId="0" applyFont="1"/>
    <xf numFmtId="168" fontId="8" fillId="0" borderId="11" xfId="0" applyNumberFormat="1" applyFont="1" applyBorder="1"/>
    <xf numFmtId="167" fontId="8" fillId="0" borderId="11" xfId="0" applyNumberFormat="1" applyFont="1" applyBorder="1"/>
    <xf numFmtId="0" fontId="22" fillId="0" borderId="0" xfId="0" applyFont="1"/>
    <xf numFmtId="164" fontId="8" fillId="0" borderId="0" xfId="0" applyNumberFormat="1" applyFont="1"/>
    <xf numFmtId="14" fontId="8" fillId="0" borderId="0" xfId="0" applyNumberFormat="1" applyFont="1"/>
    <xf numFmtId="0" fontId="0" fillId="0" borderId="0" xfId="0" applyFont="1"/>
    <xf numFmtId="0" fontId="0" fillId="0" borderId="0" xfId="0" applyFont="1" applyAlignment="1">
      <alignment horizontal="center"/>
    </xf>
    <xf numFmtId="43" fontId="1" fillId="0" borderId="0" xfId="1" applyFont="1" applyFill="1" applyBorder="1"/>
    <xf numFmtId="167" fontId="0" fillId="0" borderId="0" xfId="0" applyNumberFormat="1" applyFont="1"/>
    <xf numFmtId="43" fontId="0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B4828-637D-432C-BD24-895099ECF6FB}">
  <sheetPr>
    <pageSetUpPr fitToPage="1"/>
  </sheetPr>
  <dimension ref="A1:X83"/>
  <sheetViews>
    <sheetView tabSelected="1" topLeftCell="F11" zoomScaleNormal="100" workbookViewId="0">
      <selection activeCell="M35" sqref="M35"/>
    </sheetView>
  </sheetViews>
  <sheetFormatPr defaultColWidth="8.85546875" defaultRowHeight="15"/>
  <cols>
    <col min="1" max="1" width="37.42578125" customWidth="1"/>
    <col min="2" max="2" width="14.42578125" customWidth="1"/>
    <col min="3" max="3" width="12.7109375" customWidth="1"/>
    <col min="4" max="4" width="12.28515625" customWidth="1"/>
    <col min="5" max="5" width="12.85546875" customWidth="1"/>
    <col min="6" max="6" width="12.7109375" customWidth="1"/>
    <col min="7" max="7" width="13.140625" customWidth="1"/>
    <col min="8" max="8" width="12.28515625" customWidth="1"/>
    <col min="9" max="9" width="13.7109375" customWidth="1"/>
    <col min="10" max="10" width="12.85546875" customWidth="1"/>
    <col min="11" max="11" width="13.42578125" style="117" customWidth="1"/>
    <col min="12" max="12" width="13.7109375" style="117" customWidth="1"/>
    <col min="13" max="13" width="12" customWidth="1"/>
    <col min="14" max="14" width="12.28515625" hidden="1" customWidth="1"/>
    <col min="15" max="16" width="12.140625" customWidth="1"/>
    <col min="17" max="17" width="11.28515625" bestFit="1" customWidth="1"/>
    <col min="18" max="18" width="10.140625" bestFit="1" customWidth="1"/>
    <col min="19" max="19" width="11.42578125" customWidth="1"/>
    <col min="20" max="20" width="14.28515625" customWidth="1"/>
  </cols>
  <sheetData>
    <row r="1" spans="1:18" ht="23.25">
      <c r="A1" s="1" t="s">
        <v>45</v>
      </c>
      <c r="J1" s="2"/>
    </row>
    <row r="2" spans="1:18" ht="23.25">
      <c r="A2" s="1" t="s">
        <v>93</v>
      </c>
    </row>
    <row r="3" spans="1:18">
      <c r="B3" t="s">
        <v>0</v>
      </c>
      <c r="C3" s="3"/>
      <c r="N3" s="4"/>
      <c r="O3" s="7" t="s">
        <v>91</v>
      </c>
      <c r="P3" s="55" t="s">
        <v>1</v>
      </c>
    </row>
    <row r="4" spans="1:18">
      <c r="B4" t="s">
        <v>94</v>
      </c>
      <c r="C4" s="6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118" t="s">
        <v>10</v>
      </c>
      <c r="L4" s="118" t="s">
        <v>11</v>
      </c>
      <c r="M4" s="7" t="s">
        <v>12</v>
      </c>
      <c r="N4" s="8" t="s">
        <v>13</v>
      </c>
      <c r="O4" s="7" t="s">
        <v>95</v>
      </c>
      <c r="P4" s="55" t="s">
        <v>14</v>
      </c>
    </row>
    <row r="5" spans="1:18">
      <c r="C5" s="3"/>
      <c r="N5" s="9"/>
      <c r="P5" s="5"/>
      <c r="R5" s="2"/>
    </row>
    <row r="6" spans="1:18">
      <c r="A6" s="10" t="s">
        <v>15</v>
      </c>
      <c r="C6" s="3"/>
      <c r="N6" s="68"/>
      <c r="P6" s="11"/>
      <c r="R6" s="2"/>
    </row>
    <row r="7" spans="1:18">
      <c r="B7" s="12"/>
      <c r="C7" s="13"/>
      <c r="D7" s="12"/>
      <c r="E7" s="12"/>
      <c r="F7" s="12"/>
      <c r="G7" s="12"/>
      <c r="H7" s="12"/>
      <c r="I7" s="12"/>
      <c r="J7" s="67"/>
      <c r="K7" s="67"/>
      <c r="L7" s="67"/>
      <c r="M7" s="67"/>
      <c r="N7" s="69"/>
      <c r="O7" s="12"/>
      <c r="P7" s="14"/>
      <c r="R7" s="2"/>
    </row>
    <row r="8" spans="1:18">
      <c r="A8" t="s">
        <v>16</v>
      </c>
      <c r="B8" s="15">
        <v>35259</v>
      </c>
      <c r="C8" s="16">
        <v>17629.5</v>
      </c>
      <c r="D8" s="17"/>
      <c r="E8" s="17"/>
      <c r="F8" s="17"/>
      <c r="G8" s="17"/>
      <c r="H8" s="18">
        <v>17629.5</v>
      </c>
      <c r="I8" s="63"/>
      <c r="J8" s="27"/>
      <c r="K8" s="27"/>
      <c r="L8" s="18"/>
      <c r="M8" s="18"/>
      <c r="N8" s="70"/>
      <c r="O8" s="19">
        <f t="shared" ref="O8:O13" si="0">SUM(C8:N8)</f>
        <v>35259</v>
      </c>
      <c r="P8" s="82">
        <f t="shared" ref="P8:P14" si="1">B8-O8</f>
        <v>0</v>
      </c>
    </row>
    <row r="9" spans="1:18">
      <c r="A9" t="s">
        <v>17</v>
      </c>
      <c r="B9" s="15">
        <v>500</v>
      </c>
      <c r="C9" s="21"/>
      <c r="D9" s="19"/>
      <c r="E9" s="19">
        <f>162.89</f>
        <v>162.88999999999999</v>
      </c>
      <c r="F9" s="19"/>
      <c r="G9" s="19"/>
      <c r="H9" s="19">
        <v>158.86000000000001</v>
      </c>
      <c r="I9" s="64"/>
      <c r="J9" s="27"/>
      <c r="K9" s="27">
        <v>155.24</v>
      </c>
      <c r="L9" s="18"/>
      <c r="M9" s="18"/>
      <c r="N9" s="70"/>
      <c r="O9" s="19">
        <f t="shared" si="0"/>
        <v>476.99</v>
      </c>
      <c r="P9" s="82">
        <f t="shared" si="1"/>
        <v>23.009999999999991</v>
      </c>
      <c r="R9" s="35"/>
    </row>
    <row r="10" spans="1:18">
      <c r="A10" t="s">
        <v>18</v>
      </c>
      <c r="B10" s="15">
        <v>0</v>
      </c>
      <c r="C10" s="21"/>
      <c r="D10" s="19"/>
      <c r="E10" s="19"/>
      <c r="F10" s="19"/>
      <c r="G10" s="19"/>
      <c r="H10" s="19">
        <v>23.84</v>
      </c>
      <c r="I10" s="65"/>
      <c r="J10" s="27"/>
      <c r="K10" s="27"/>
      <c r="L10" s="18"/>
      <c r="M10" s="18">
        <f>11.92</f>
        <v>11.92</v>
      </c>
      <c r="N10" s="70"/>
      <c r="O10" s="19">
        <f t="shared" si="0"/>
        <v>35.76</v>
      </c>
      <c r="P10" s="85">
        <f t="shared" si="1"/>
        <v>-35.76</v>
      </c>
      <c r="R10" s="35"/>
    </row>
    <row r="11" spans="1:18">
      <c r="A11" t="s">
        <v>67</v>
      </c>
      <c r="B11" s="15">
        <v>0</v>
      </c>
      <c r="C11" s="21"/>
      <c r="D11" s="19"/>
      <c r="E11" s="19"/>
      <c r="F11" s="19"/>
      <c r="G11" s="19"/>
      <c r="H11" s="19"/>
      <c r="I11" s="65"/>
      <c r="J11" s="27"/>
      <c r="K11" s="66"/>
      <c r="L11" s="18"/>
      <c r="M11" s="18"/>
      <c r="N11" s="70"/>
      <c r="O11" s="19">
        <f t="shared" si="0"/>
        <v>0</v>
      </c>
      <c r="P11" s="82">
        <f t="shared" si="1"/>
        <v>0</v>
      </c>
    </row>
    <row r="12" spans="1:18">
      <c r="A12" t="s">
        <v>194</v>
      </c>
      <c r="B12" s="15"/>
      <c r="C12" s="21"/>
      <c r="D12" s="19"/>
      <c r="E12" s="19"/>
      <c r="F12" s="19"/>
      <c r="G12" s="19"/>
      <c r="H12" s="19"/>
      <c r="I12" s="65"/>
      <c r="J12" s="27"/>
      <c r="K12" s="66"/>
      <c r="L12" s="18">
        <v>500</v>
      </c>
      <c r="M12" s="18"/>
      <c r="N12" s="70"/>
      <c r="O12" s="19">
        <f t="shared" si="0"/>
        <v>500</v>
      </c>
      <c r="P12" s="82">
        <f t="shared" si="1"/>
        <v>-500</v>
      </c>
    </row>
    <row r="13" spans="1:18">
      <c r="A13" t="s">
        <v>90</v>
      </c>
      <c r="B13" s="15">
        <v>0</v>
      </c>
      <c r="C13" s="21"/>
      <c r="D13" s="19"/>
      <c r="E13" s="19"/>
      <c r="F13" s="19"/>
      <c r="G13" s="19"/>
      <c r="H13" s="19"/>
      <c r="I13" s="66"/>
      <c r="J13" s="27"/>
      <c r="K13" s="27"/>
      <c r="L13" s="18"/>
      <c r="M13" s="18"/>
      <c r="N13" s="70"/>
      <c r="O13" s="19">
        <f t="shared" si="0"/>
        <v>0</v>
      </c>
      <c r="P13" s="82">
        <f t="shared" si="1"/>
        <v>0</v>
      </c>
      <c r="R13" s="35"/>
    </row>
    <row r="14" spans="1:18">
      <c r="A14" t="s">
        <v>19</v>
      </c>
      <c r="B14" s="15">
        <v>0</v>
      </c>
      <c r="C14" s="21">
        <f>15+7.5</f>
        <v>22.5</v>
      </c>
      <c r="D14" s="19">
        <f>12+12+7.5+6</f>
        <v>37.5</v>
      </c>
      <c r="E14" s="19"/>
      <c r="F14" s="19"/>
      <c r="G14" s="19">
        <v>5</v>
      </c>
      <c r="H14" s="19"/>
      <c r="I14" s="65"/>
      <c r="J14" s="27"/>
      <c r="K14" s="27"/>
      <c r="L14" s="18"/>
      <c r="M14" s="18"/>
      <c r="N14" s="76"/>
      <c r="O14" s="19">
        <f t="shared" ref="O14" si="2">SUM(C14:N14)</f>
        <v>65</v>
      </c>
      <c r="P14" s="85">
        <f t="shared" si="1"/>
        <v>-65</v>
      </c>
    </row>
    <row r="15" spans="1:18">
      <c r="A15" s="23" t="s">
        <v>20</v>
      </c>
      <c r="B15" s="24">
        <f t="shared" ref="B15:P15" si="3">SUM(B7:B14)</f>
        <v>35759</v>
      </c>
      <c r="C15" s="25">
        <f t="shared" si="3"/>
        <v>17652</v>
      </c>
      <c r="D15" s="25">
        <f t="shared" si="3"/>
        <v>37.5</v>
      </c>
      <c r="E15" s="25">
        <f t="shared" si="3"/>
        <v>162.88999999999999</v>
      </c>
      <c r="F15" s="25">
        <f t="shared" si="3"/>
        <v>0</v>
      </c>
      <c r="G15" s="25">
        <f t="shared" si="3"/>
        <v>5</v>
      </c>
      <c r="H15" s="25">
        <f t="shared" si="3"/>
        <v>17812.2</v>
      </c>
      <c r="I15" s="25">
        <f t="shared" si="3"/>
        <v>0</v>
      </c>
      <c r="J15" s="25">
        <f t="shared" si="3"/>
        <v>0</v>
      </c>
      <c r="K15" s="92">
        <f t="shared" si="3"/>
        <v>155.24</v>
      </c>
      <c r="L15" s="92">
        <f t="shared" si="3"/>
        <v>500</v>
      </c>
      <c r="M15" s="92">
        <f t="shared" si="3"/>
        <v>11.92</v>
      </c>
      <c r="N15" s="25">
        <f t="shared" si="3"/>
        <v>0</v>
      </c>
      <c r="O15" s="25">
        <f t="shared" si="3"/>
        <v>36336.75</v>
      </c>
      <c r="P15" s="25">
        <f t="shared" si="3"/>
        <v>-577.75</v>
      </c>
      <c r="Q15" s="78"/>
      <c r="R15" s="35"/>
    </row>
    <row r="16" spans="1:18">
      <c r="B16" s="12"/>
      <c r="C16" s="21"/>
      <c r="D16" s="19"/>
      <c r="E16" s="19"/>
      <c r="F16" s="19"/>
      <c r="G16" s="19"/>
      <c r="H16" s="19"/>
      <c r="I16" s="19"/>
      <c r="J16" s="19"/>
      <c r="K16" s="18"/>
      <c r="L16" s="18"/>
      <c r="M16" s="18"/>
      <c r="N16" s="20"/>
      <c r="O16" s="19"/>
      <c r="P16" s="82"/>
    </row>
    <row r="17" spans="1:20">
      <c r="A17" s="10" t="s">
        <v>21</v>
      </c>
      <c r="B17" s="12"/>
      <c r="C17" s="21"/>
      <c r="D17" s="19"/>
      <c r="E17" s="19"/>
      <c r="F17" s="19"/>
      <c r="G17" s="19"/>
      <c r="H17" s="19"/>
      <c r="I17" s="19"/>
      <c r="J17" s="19"/>
      <c r="K17" s="18"/>
      <c r="L17" s="18"/>
      <c r="M17" s="18"/>
      <c r="N17" s="20"/>
      <c r="O17" s="19"/>
      <c r="P17" s="82"/>
    </row>
    <row r="18" spans="1:20">
      <c r="A18" t="s">
        <v>125</v>
      </c>
      <c r="B18" s="15">
        <v>7318</v>
      </c>
      <c r="C18" s="21">
        <f>538.6+361.8</f>
        <v>900.40000000000009</v>
      </c>
      <c r="D18" s="19">
        <v>440.44</v>
      </c>
      <c r="E18" s="19">
        <f>573.56</f>
        <v>573.55999999999995</v>
      </c>
      <c r="F18" s="19">
        <f>377.04+420.52</f>
        <v>797.56</v>
      </c>
      <c r="G18" s="19">
        <f>667.72</f>
        <v>667.72</v>
      </c>
      <c r="H18" s="19">
        <v>650.80999999999995</v>
      </c>
      <c r="I18" s="27">
        <v>575.6</v>
      </c>
      <c r="J18" s="27">
        <v>516.82000000000005</v>
      </c>
      <c r="K18" s="27">
        <v>506.96</v>
      </c>
      <c r="L18" s="18">
        <v>389.21</v>
      </c>
      <c r="M18" s="18">
        <f>552.79</f>
        <v>552.79</v>
      </c>
      <c r="N18" s="89"/>
      <c r="O18" s="19">
        <f>SUM(C18:N18)</f>
        <v>6571.87</v>
      </c>
      <c r="P18" s="85">
        <f>B18-O18</f>
        <v>746.13000000000011</v>
      </c>
      <c r="R18" s="35"/>
      <c r="T18" s="19"/>
    </row>
    <row r="19" spans="1:20">
      <c r="A19" t="s">
        <v>126</v>
      </c>
      <c r="B19" s="15">
        <v>792</v>
      </c>
      <c r="C19" s="21"/>
      <c r="D19" s="19"/>
      <c r="E19" s="19"/>
      <c r="F19" s="19"/>
      <c r="G19" s="19"/>
      <c r="H19" s="19"/>
      <c r="I19" s="27"/>
      <c r="J19" s="27"/>
      <c r="K19" s="27"/>
      <c r="L19" s="18"/>
      <c r="M19" s="18"/>
      <c r="N19" s="18"/>
      <c r="O19" s="19">
        <f>SUM(C19:N19)</f>
        <v>0</v>
      </c>
      <c r="P19" s="85">
        <f t="shared" ref="P19:P48" si="4">B19-O19</f>
        <v>792</v>
      </c>
      <c r="R19" s="35"/>
      <c r="T19" s="19"/>
    </row>
    <row r="20" spans="1:20">
      <c r="A20" t="s">
        <v>127</v>
      </c>
      <c r="B20" s="15">
        <v>285</v>
      </c>
      <c r="C20" s="21"/>
      <c r="D20" s="19"/>
      <c r="E20" s="19"/>
      <c r="F20" s="19"/>
      <c r="G20" s="19"/>
      <c r="H20" s="19"/>
      <c r="I20" s="27"/>
      <c r="J20" s="27"/>
      <c r="K20" s="27"/>
      <c r="L20" s="18"/>
      <c r="M20" s="18"/>
      <c r="N20" s="18"/>
      <c r="O20" s="19">
        <f>SUM(C20:N20)</f>
        <v>0</v>
      </c>
      <c r="P20" s="85">
        <f t="shared" si="4"/>
        <v>285</v>
      </c>
      <c r="R20" s="35"/>
      <c r="T20" s="19"/>
    </row>
    <row r="21" spans="1:20">
      <c r="A21" t="s">
        <v>128</v>
      </c>
      <c r="B21" s="15">
        <f>348+119+43</f>
        <v>510</v>
      </c>
      <c r="C21" s="21"/>
      <c r="D21" s="19"/>
      <c r="E21" s="19"/>
      <c r="F21" s="19"/>
      <c r="G21" s="19"/>
      <c r="H21" s="19"/>
      <c r="I21" s="27">
        <v>640.65</v>
      </c>
      <c r="J21" s="27"/>
      <c r="K21" s="27"/>
      <c r="L21" s="18">
        <v>430.01</v>
      </c>
      <c r="M21" s="18"/>
      <c r="N21" s="18"/>
      <c r="O21" s="19">
        <f>SUM(C21:N21)</f>
        <v>1070.6599999999999</v>
      </c>
      <c r="P21" s="85">
        <f t="shared" si="4"/>
        <v>-560.65999999999985</v>
      </c>
      <c r="R21" s="35"/>
      <c r="T21" s="19"/>
    </row>
    <row r="22" spans="1:20">
      <c r="A22" t="s">
        <v>48</v>
      </c>
      <c r="B22" s="15">
        <v>510</v>
      </c>
      <c r="C22" s="21">
        <f>35+36</f>
        <v>71</v>
      </c>
      <c r="D22" s="19"/>
      <c r="E22" s="27">
        <v>34</v>
      </c>
      <c r="F22" s="19"/>
      <c r="G22" s="19"/>
      <c r="H22" s="19"/>
      <c r="I22" s="27"/>
      <c r="J22" s="27"/>
      <c r="K22" s="27"/>
      <c r="L22" s="18"/>
      <c r="M22" s="18"/>
      <c r="N22" s="70"/>
      <c r="O22" s="19">
        <f t="shared" ref="O22:O38" si="5">SUM(C22:N22)</f>
        <v>105</v>
      </c>
      <c r="P22" s="85">
        <f t="shared" si="4"/>
        <v>405</v>
      </c>
      <c r="R22" s="35"/>
      <c r="T22" s="19"/>
    </row>
    <row r="23" spans="1:20">
      <c r="A23" t="s">
        <v>49</v>
      </c>
      <c r="B23" s="15">
        <v>400</v>
      </c>
      <c r="C23" s="28">
        <f>10</f>
        <v>10</v>
      </c>
      <c r="D23" s="29">
        <f>10+6.24+30.28</f>
        <v>46.52</v>
      </c>
      <c r="E23" s="29">
        <f>10</f>
        <v>10</v>
      </c>
      <c r="F23" s="29">
        <f>6.78+45+45.82</f>
        <v>97.6</v>
      </c>
      <c r="G23" s="29">
        <f>8.38</f>
        <v>8.3800000000000008</v>
      </c>
      <c r="H23" s="29">
        <f>8.38</f>
        <v>8.3800000000000008</v>
      </c>
      <c r="I23" s="29">
        <f>8.38+35.46</f>
        <v>43.84</v>
      </c>
      <c r="J23" s="29">
        <v>8.3800000000000008</v>
      </c>
      <c r="K23" s="29">
        <f>8.38+6.9</f>
        <v>15.280000000000001</v>
      </c>
      <c r="L23" s="119">
        <f>8.38+66.78</f>
        <v>75.16</v>
      </c>
      <c r="M23" s="93">
        <f>8.38</f>
        <v>8.3800000000000008</v>
      </c>
      <c r="N23" s="77"/>
      <c r="O23" s="19">
        <f t="shared" si="5"/>
        <v>331.91999999999996</v>
      </c>
      <c r="P23" s="85">
        <f t="shared" si="4"/>
        <v>68.080000000000041</v>
      </c>
      <c r="R23" s="30"/>
      <c r="S23" s="35"/>
      <c r="T23" s="28"/>
    </row>
    <row r="24" spans="1:20">
      <c r="A24" t="s">
        <v>124</v>
      </c>
      <c r="B24" s="15">
        <v>0</v>
      </c>
      <c r="C24" s="21"/>
      <c r="D24" s="19"/>
      <c r="E24" s="19"/>
      <c r="F24" s="19"/>
      <c r="G24" s="19"/>
      <c r="H24" s="19"/>
      <c r="I24" s="27"/>
      <c r="J24" s="27"/>
      <c r="K24" s="27"/>
      <c r="L24" s="94"/>
      <c r="M24" s="18"/>
      <c r="N24" s="70"/>
      <c r="O24" s="19">
        <f t="shared" si="5"/>
        <v>0</v>
      </c>
      <c r="P24" s="85">
        <f t="shared" si="4"/>
        <v>0</v>
      </c>
      <c r="R24" s="35"/>
      <c r="T24" s="19"/>
    </row>
    <row r="25" spans="1:20">
      <c r="A25" t="s">
        <v>60</v>
      </c>
      <c r="B25" s="15">
        <v>120</v>
      </c>
      <c r="C25" s="21"/>
      <c r="D25" s="19"/>
      <c r="E25" s="19"/>
      <c r="F25" s="19"/>
      <c r="G25" s="19"/>
      <c r="H25" s="19"/>
      <c r="I25" s="27"/>
      <c r="J25" s="27"/>
      <c r="K25" s="27"/>
      <c r="L25" s="94"/>
      <c r="M25" s="18"/>
      <c r="N25" s="70"/>
      <c r="O25" s="19">
        <f t="shared" si="5"/>
        <v>0</v>
      </c>
      <c r="P25" s="85">
        <f t="shared" si="4"/>
        <v>120</v>
      </c>
      <c r="R25" s="35"/>
      <c r="T25" s="19"/>
    </row>
    <row r="26" spans="1:20">
      <c r="A26" t="s">
        <v>50</v>
      </c>
      <c r="B26" s="15">
        <v>210</v>
      </c>
      <c r="C26" s="21">
        <v>139.97999999999999</v>
      </c>
      <c r="D26" s="19">
        <f>104.99</f>
        <v>104.99</v>
      </c>
      <c r="E26" s="19"/>
      <c r="F26" s="19"/>
      <c r="G26" s="19"/>
      <c r="H26" s="19"/>
      <c r="I26" s="27"/>
      <c r="J26" s="27"/>
      <c r="K26" s="27"/>
      <c r="L26" s="94"/>
      <c r="M26" s="18"/>
      <c r="N26" s="70"/>
      <c r="O26" s="19">
        <f t="shared" si="5"/>
        <v>244.96999999999997</v>
      </c>
      <c r="P26" s="85">
        <f t="shared" si="4"/>
        <v>-34.96999999999997</v>
      </c>
      <c r="R26" s="35"/>
      <c r="T26" s="19"/>
    </row>
    <row r="27" spans="1:20">
      <c r="A27" t="s">
        <v>23</v>
      </c>
      <c r="B27" s="15">
        <v>450</v>
      </c>
      <c r="C27" s="21"/>
      <c r="D27" s="19">
        <f>311.01</f>
        <v>311.01</v>
      </c>
      <c r="E27" s="19"/>
      <c r="F27" s="19"/>
      <c r="G27" s="19"/>
      <c r="H27" s="19"/>
      <c r="I27" s="27"/>
      <c r="J27" s="27"/>
      <c r="K27" s="27"/>
      <c r="L27" s="94">
        <f>34.99</f>
        <v>34.99</v>
      </c>
      <c r="M27" s="18"/>
      <c r="N27" s="70"/>
      <c r="O27" s="19">
        <f t="shared" si="5"/>
        <v>346</v>
      </c>
      <c r="P27" s="85">
        <f t="shared" si="4"/>
        <v>104</v>
      </c>
      <c r="S27" s="35"/>
      <c r="T27" s="19"/>
    </row>
    <row r="28" spans="1:20">
      <c r="A28" t="s">
        <v>47</v>
      </c>
      <c r="B28" s="15">
        <v>600</v>
      </c>
      <c r="C28" s="21"/>
      <c r="D28" s="19"/>
      <c r="E28" s="19">
        <f>282</f>
        <v>282</v>
      </c>
      <c r="F28" s="19"/>
      <c r="G28" s="19"/>
      <c r="H28" s="19"/>
      <c r="I28" s="27">
        <v>210</v>
      </c>
      <c r="J28" s="27"/>
      <c r="K28" s="27"/>
      <c r="L28" s="94"/>
      <c r="M28" s="18"/>
      <c r="N28" s="70"/>
      <c r="O28" s="19">
        <f t="shared" si="5"/>
        <v>492</v>
      </c>
      <c r="P28" s="85">
        <f t="shared" si="4"/>
        <v>108</v>
      </c>
      <c r="R28" s="35"/>
      <c r="T28" s="19"/>
    </row>
    <row r="29" spans="1:20">
      <c r="A29" t="s">
        <v>22</v>
      </c>
      <c r="B29" s="15">
        <v>420</v>
      </c>
      <c r="C29" s="21"/>
      <c r="D29" s="19"/>
      <c r="E29" s="19"/>
      <c r="F29" s="19"/>
      <c r="G29" s="19"/>
      <c r="H29" s="19">
        <v>399.78</v>
      </c>
      <c r="I29" s="27"/>
      <c r="J29" s="27"/>
      <c r="K29" s="27"/>
      <c r="L29" s="18"/>
      <c r="M29" s="18"/>
      <c r="N29" s="70"/>
      <c r="O29" s="19">
        <f t="shared" si="5"/>
        <v>399.78</v>
      </c>
      <c r="P29" s="85">
        <f t="shared" si="4"/>
        <v>20.220000000000027</v>
      </c>
      <c r="R29" s="35"/>
      <c r="T29" s="19"/>
    </row>
    <row r="30" spans="1:20">
      <c r="A30" t="s">
        <v>51</v>
      </c>
      <c r="B30" s="15">
        <v>200</v>
      </c>
      <c r="C30" s="21">
        <f>50</f>
        <v>50</v>
      </c>
      <c r="D30" s="19"/>
      <c r="E30" s="19"/>
      <c r="F30" s="19"/>
      <c r="G30" s="19"/>
      <c r="H30" s="19"/>
      <c r="I30" s="27"/>
      <c r="J30" s="27"/>
      <c r="K30" s="66"/>
      <c r="L30" s="18"/>
      <c r="M30" s="18">
        <f>50+50</f>
        <v>100</v>
      </c>
      <c r="N30" s="70"/>
      <c r="O30" s="19">
        <f t="shared" si="5"/>
        <v>150</v>
      </c>
      <c r="P30" s="85">
        <f t="shared" si="4"/>
        <v>50</v>
      </c>
      <c r="R30" s="35"/>
      <c r="T30" s="19"/>
    </row>
    <row r="31" spans="1:20">
      <c r="A31" t="s">
        <v>52</v>
      </c>
      <c r="B31" s="15">
        <v>102</v>
      </c>
      <c r="C31" s="21">
        <f>6+3</f>
        <v>9</v>
      </c>
      <c r="D31" s="19">
        <f>6+3</f>
        <v>9</v>
      </c>
      <c r="E31" s="19">
        <f>3+6</f>
        <v>9</v>
      </c>
      <c r="F31" s="19">
        <f>6+3</f>
        <v>9</v>
      </c>
      <c r="G31" s="19">
        <f>3+6</f>
        <v>9</v>
      </c>
      <c r="H31" s="19">
        <f>3+6</f>
        <v>9</v>
      </c>
      <c r="I31" s="27">
        <f>6+3</f>
        <v>9</v>
      </c>
      <c r="J31" s="27">
        <f>3+6</f>
        <v>9</v>
      </c>
      <c r="K31" s="27">
        <f>3+6</f>
        <v>9</v>
      </c>
      <c r="L31" s="18">
        <f>6+3</f>
        <v>9</v>
      </c>
      <c r="M31" s="18">
        <f>3+6</f>
        <v>9</v>
      </c>
      <c r="N31" s="70"/>
      <c r="O31" s="19">
        <f t="shared" si="5"/>
        <v>99</v>
      </c>
      <c r="P31" s="85">
        <f t="shared" si="4"/>
        <v>3</v>
      </c>
      <c r="S31" s="35"/>
      <c r="T31" s="19"/>
    </row>
    <row r="32" spans="1:20">
      <c r="A32" t="s">
        <v>53</v>
      </c>
      <c r="B32" s="15">
        <v>170</v>
      </c>
      <c r="C32" s="21"/>
      <c r="D32" s="19"/>
      <c r="E32" s="19"/>
      <c r="F32" s="19"/>
      <c r="G32" s="19">
        <f>136.5</f>
        <v>136.5</v>
      </c>
      <c r="H32" s="19"/>
      <c r="I32" s="27"/>
      <c r="J32" s="27">
        <f>130</f>
        <v>130</v>
      </c>
      <c r="K32" s="27"/>
      <c r="L32" s="18"/>
      <c r="M32" s="18"/>
      <c r="N32" s="70"/>
      <c r="O32" s="19">
        <f t="shared" si="5"/>
        <v>266.5</v>
      </c>
      <c r="P32" s="85">
        <f t="shared" si="4"/>
        <v>-96.5</v>
      </c>
      <c r="S32" s="35"/>
      <c r="T32" s="19"/>
    </row>
    <row r="33" spans="1:24">
      <c r="A33" t="s">
        <v>92</v>
      </c>
      <c r="B33" s="15">
        <v>500</v>
      </c>
      <c r="C33" s="21"/>
      <c r="D33" s="19"/>
      <c r="E33" s="19"/>
      <c r="F33" s="19"/>
      <c r="G33" s="19">
        <f>107.9</f>
        <v>107.9</v>
      </c>
      <c r="H33" s="19"/>
      <c r="I33" s="27"/>
      <c r="J33" s="66"/>
      <c r="K33" s="27"/>
      <c r="L33" s="18"/>
      <c r="M33" s="18">
        <f>108.9</f>
        <v>108.9</v>
      </c>
      <c r="N33" s="70"/>
      <c r="O33" s="19">
        <f t="shared" si="5"/>
        <v>216.8</v>
      </c>
      <c r="P33" s="85">
        <f t="shared" si="4"/>
        <v>283.2</v>
      </c>
      <c r="S33" s="35"/>
      <c r="T33" s="19"/>
    </row>
    <row r="34" spans="1:24">
      <c r="A34" t="s">
        <v>54</v>
      </c>
      <c r="B34" s="15">
        <v>35</v>
      </c>
      <c r="C34" s="21">
        <f>47</f>
        <v>47</v>
      </c>
      <c r="D34" s="27"/>
      <c r="E34" s="19"/>
      <c r="F34" s="19"/>
      <c r="G34" s="19"/>
      <c r="H34" s="19"/>
      <c r="I34" s="27"/>
      <c r="J34" s="27"/>
      <c r="K34" s="27"/>
      <c r="L34" s="18"/>
      <c r="M34" s="18"/>
      <c r="N34" s="70"/>
      <c r="O34" s="19">
        <f t="shared" si="5"/>
        <v>47</v>
      </c>
      <c r="P34" s="85">
        <f t="shared" si="4"/>
        <v>-12</v>
      </c>
      <c r="R34" s="30"/>
      <c r="T34" s="19"/>
    </row>
    <row r="35" spans="1:24">
      <c r="A35" t="s">
        <v>55</v>
      </c>
      <c r="B35" s="15">
        <v>1625</v>
      </c>
      <c r="C35" s="21"/>
      <c r="D35" s="19"/>
      <c r="E35" s="19"/>
      <c r="F35" s="19"/>
      <c r="G35" s="19"/>
      <c r="H35" s="19"/>
      <c r="I35" s="27"/>
      <c r="J35" s="27">
        <f>700</f>
        <v>700</v>
      </c>
      <c r="K35" s="27"/>
      <c r="L35" s="18"/>
      <c r="M35" s="27">
        <f>132.82+7.76</f>
        <v>140.57999999999998</v>
      </c>
      <c r="N35" s="70"/>
      <c r="O35" s="19">
        <f t="shared" si="5"/>
        <v>840.57999999999993</v>
      </c>
      <c r="P35" s="85">
        <f t="shared" si="4"/>
        <v>784.42000000000007</v>
      </c>
      <c r="R35" s="90"/>
      <c r="S35" s="35"/>
      <c r="T35" s="22"/>
      <c r="V35" s="30"/>
      <c r="W35" s="30"/>
      <c r="X35" s="30"/>
    </row>
    <row r="36" spans="1:24">
      <c r="A36" t="s">
        <v>56</v>
      </c>
      <c r="B36" s="15">
        <v>460</v>
      </c>
      <c r="C36" s="21"/>
      <c r="D36" s="19">
        <f>19.6</f>
        <v>19.600000000000001</v>
      </c>
      <c r="E36" s="19"/>
      <c r="F36" s="19"/>
      <c r="G36" s="19">
        <f>489.9</f>
        <v>489.9</v>
      </c>
      <c r="H36" s="19"/>
      <c r="I36" s="27"/>
      <c r="J36" s="27"/>
      <c r="K36" s="27"/>
      <c r="L36" s="18"/>
      <c r="M36" s="18"/>
      <c r="N36" s="70"/>
      <c r="O36" s="19">
        <f t="shared" si="5"/>
        <v>509.5</v>
      </c>
      <c r="P36" s="85">
        <f t="shared" si="4"/>
        <v>-49.5</v>
      </c>
      <c r="R36" s="35"/>
      <c r="T36" s="19"/>
    </row>
    <row r="37" spans="1:24">
      <c r="A37" t="s">
        <v>70</v>
      </c>
      <c r="B37" s="15">
        <v>350</v>
      </c>
      <c r="C37" s="21">
        <f>247.35</f>
        <v>247.35</v>
      </c>
      <c r="D37" s="19"/>
      <c r="E37" s="19"/>
      <c r="F37" s="19"/>
      <c r="G37" s="19"/>
      <c r="H37" s="19"/>
      <c r="I37" s="27"/>
      <c r="J37" s="27"/>
      <c r="K37" s="27"/>
      <c r="L37" s="18"/>
      <c r="M37" s="18"/>
      <c r="N37" s="70"/>
      <c r="O37" s="19">
        <f t="shared" si="5"/>
        <v>247.35</v>
      </c>
      <c r="P37" s="85">
        <f t="shared" si="4"/>
        <v>102.65</v>
      </c>
      <c r="R37" s="35"/>
      <c r="T37" s="19"/>
    </row>
    <row r="38" spans="1:24">
      <c r="A38" t="s">
        <v>57</v>
      </c>
      <c r="B38" s="15">
        <v>1700</v>
      </c>
      <c r="C38" s="21"/>
      <c r="D38" s="19"/>
      <c r="E38" s="19"/>
      <c r="F38" s="19">
        <f>150</f>
        <v>150</v>
      </c>
      <c r="G38" s="19">
        <v>550</v>
      </c>
      <c r="H38" s="19">
        <v>250</v>
      </c>
      <c r="I38" s="27"/>
      <c r="J38" s="27"/>
      <c r="K38" s="27"/>
      <c r="L38" s="18"/>
      <c r="M38" s="18"/>
      <c r="N38" s="77"/>
      <c r="O38" s="19">
        <f t="shared" si="5"/>
        <v>950</v>
      </c>
      <c r="P38" s="85">
        <f t="shared" si="4"/>
        <v>750</v>
      </c>
      <c r="R38" s="35"/>
      <c r="T38" s="19"/>
    </row>
    <row r="39" spans="1:24">
      <c r="A39" t="s">
        <v>58</v>
      </c>
      <c r="B39" s="15">
        <v>50</v>
      </c>
      <c r="C39" s="21"/>
      <c r="D39" s="19"/>
      <c r="E39" s="19"/>
      <c r="F39" s="19"/>
      <c r="G39" s="19"/>
      <c r="H39" s="19"/>
      <c r="I39" s="27">
        <f>16.33</f>
        <v>16.329999999999998</v>
      </c>
      <c r="J39" s="27"/>
      <c r="K39" s="27">
        <f>9.04</f>
        <v>9.0399999999999991</v>
      </c>
      <c r="L39" s="18"/>
      <c r="M39" s="18"/>
      <c r="N39" s="70"/>
      <c r="O39" s="19">
        <f t="shared" ref="O39:O48" si="6">SUM(C39:N39)</f>
        <v>25.369999999999997</v>
      </c>
      <c r="P39" s="85">
        <f t="shared" si="4"/>
        <v>24.630000000000003</v>
      </c>
      <c r="R39" s="35"/>
      <c r="T39" s="19"/>
    </row>
    <row r="40" spans="1:24" hidden="1">
      <c r="A40" t="s">
        <v>69</v>
      </c>
      <c r="B40" s="56"/>
      <c r="C40" s="57"/>
      <c r="D40" s="22"/>
      <c r="E40" s="22"/>
      <c r="F40" s="22"/>
      <c r="G40" s="22"/>
      <c r="H40" s="22"/>
      <c r="I40" s="66"/>
      <c r="J40" s="66"/>
      <c r="K40" s="66"/>
      <c r="L40" s="94"/>
      <c r="M40" s="94"/>
      <c r="N40" s="71"/>
      <c r="O40" s="22">
        <f t="shared" si="6"/>
        <v>0</v>
      </c>
      <c r="P40" s="85">
        <f t="shared" si="4"/>
        <v>0</v>
      </c>
      <c r="T40" s="22"/>
    </row>
    <row r="41" spans="1:24">
      <c r="A41" t="s">
        <v>59</v>
      </c>
      <c r="B41" s="15">
        <v>0</v>
      </c>
      <c r="C41" s="21"/>
      <c r="D41" s="19"/>
      <c r="E41" s="19"/>
      <c r="F41" s="19"/>
      <c r="G41" s="19"/>
      <c r="H41" s="19"/>
      <c r="I41" s="27"/>
      <c r="J41" s="27"/>
      <c r="K41" s="27"/>
      <c r="L41" s="18"/>
      <c r="M41" s="18"/>
      <c r="N41" s="70"/>
      <c r="O41" s="19">
        <f t="shared" si="6"/>
        <v>0</v>
      </c>
      <c r="P41" s="85">
        <f t="shared" si="4"/>
        <v>0</v>
      </c>
      <c r="R41" s="35"/>
      <c r="T41" s="19"/>
    </row>
    <row r="42" spans="1:24">
      <c r="A42" t="s">
        <v>62</v>
      </c>
      <c r="B42" s="15">
        <v>4200</v>
      </c>
      <c r="C42" s="21"/>
      <c r="D42" s="19">
        <v>4200</v>
      </c>
      <c r="E42" s="19"/>
      <c r="F42" s="19"/>
      <c r="G42" s="19"/>
      <c r="H42" s="19"/>
      <c r="I42" s="27"/>
      <c r="J42" s="27"/>
      <c r="K42" s="27"/>
      <c r="L42" s="18"/>
      <c r="M42" s="18"/>
      <c r="N42" s="70"/>
      <c r="O42" s="19">
        <f t="shared" si="6"/>
        <v>4200</v>
      </c>
      <c r="P42" s="85">
        <f t="shared" si="4"/>
        <v>0</v>
      </c>
      <c r="T42" s="19"/>
    </row>
    <row r="43" spans="1:24">
      <c r="A43" t="s">
        <v>61</v>
      </c>
      <c r="B43" s="15">
        <v>13152</v>
      </c>
      <c r="C43" s="21"/>
      <c r="D43" s="19"/>
      <c r="E43" s="19">
        <f>6575.92</f>
        <v>6575.92</v>
      </c>
      <c r="F43" s="19"/>
      <c r="G43" s="19"/>
      <c r="H43" s="19"/>
      <c r="I43" s="27"/>
      <c r="J43" s="27"/>
      <c r="K43" s="27">
        <v>6575.92</v>
      </c>
      <c r="L43" s="18"/>
      <c r="M43" s="18"/>
      <c r="N43" s="70"/>
      <c r="O43" s="19">
        <f t="shared" si="6"/>
        <v>13151.84</v>
      </c>
      <c r="P43" s="85">
        <f t="shared" si="4"/>
        <v>0.15999999999985448</v>
      </c>
      <c r="R43" s="35"/>
      <c r="T43" s="19"/>
    </row>
    <row r="44" spans="1:24">
      <c r="A44" t="s">
        <v>129</v>
      </c>
      <c r="B44" s="15">
        <v>1500</v>
      </c>
      <c r="C44" s="21">
        <f>2107.74</f>
        <v>2107.7399999999998</v>
      </c>
      <c r="D44" s="19"/>
      <c r="E44" s="19"/>
      <c r="F44" s="19"/>
      <c r="G44" s="19"/>
      <c r="H44" s="19"/>
      <c r="I44" s="27">
        <f>1027.62</f>
        <v>1027.6199999999999</v>
      </c>
      <c r="J44" s="27"/>
      <c r="K44" s="27"/>
      <c r="L44" s="18"/>
      <c r="M44" s="18"/>
      <c r="N44" s="70"/>
      <c r="O44" s="19">
        <f t="shared" si="6"/>
        <v>3135.3599999999997</v>
      </c>
      <c r="P44" s="85">
        <f t="shared" si="4"/>
        <v>-1635.3599999999997</v>
      </c>
      <c r="T44" s="19"/>
    </row>
    <row r="45" spans="1:24">
      <c r="A45" t="s">
        <v>79</v>
      </c>
      <c r="B45" s="15">
        <v>100</v>
      </c>
      <c r="C45" s="21"/>
      <c r="D45" s="19"/>
      <c r="E45" s="19"/>
      <c r="F45" s="19"/>
      <c r="G45" s="19"/>
      <c r="H45" s="19"/>
      <c r="I45" s="27"/>
      <c r="J45" s="27"/>
      <c r="K45" s="27"/>
      <c r="L45" s="18"/>
      <c r="M45" s="18"/>
      <c r="N45" s="70"/>
      <c r="O45" s="19">
        <f t="shared" si="6"/>
        <v>0</v>
      </c>
      <c r="P45" s="85">
        <f t="shared" si="4"/>
        <v>100</v>
      </c>
      <c r="T45" s="19"/>
    </row>
    <row r="46" spans="1:24">
      <c r="A46" t="s">
        <v>66</v>
      </c>
      <c r="B46" s="15">
        <v>0</v>
      </c>
      <c r="C46" s="21"/>
      <c r="D46" s="19"/>
      <c r="E46" s="19"/>
      <c r="F46" s="19">
        <f>48.37+75+17.47</f>
        <v>140.84</v>
      </c>
      <c r="G46" s="19"/>
      <c r="H46" s="19"/>
      <c r="I46" s="27"/>
      <c r="J46" s="27"/>
      <c r="K46" s="27"/>
      <c r="L46" s="18"/>
      <c r="M46" s="18"/>
      <c r="N46" s="70"/>
      <c r="O46" s="19">
        <f t="shared" si="6"/>
        <v>140.84</v>
      </c>
      <c r="P46" s="85">
        <f t="shared" si="4"/>
        <v>-140.84</v>
      </c>
      <c r="R46" s="78"/>
      <c r="T46" s="19"/>
    </row>
    <row r="47" spans="1:24">
      <c r="A47" t="s">
        <v>130</v>
      </c>
      <c r="B47" s="15">
        <v>0</v>
      </c>
      <c r="C47" s="21"/>
      <c r="D47" s="19"/>
      <c r="E47" s="19"/>
      <c r="F47" s="19"/>
      <c r="G47" s="19"/>
      <c r="H47" s="19"/>
      <c r="I47" s="27"/>
      <c r="J47" s="27"/>
      <c r="K47" s="27"/>
      <c r="L47" s="18"/>
      <c r="M47" s="18"/>
      <c r="N47" s="70"/>
      <c r="O47" s="19">
        <f t="shared" si="6"/>
        <v>0</v>
      </c>
      <c r="P47" s="85">
        <f t="shared" si="4"/>
        <v>0</v>
      </c>
      <c r="S47" s="35"/>
      <c r="T47" s="19"/>
    </row>
    <row r="48" spans="1:24">
      <c r="A48" t="s">
        <v>68</v>
      </c>
      <c r="B48" s="15">
        <v>0</v>
      </c>
      <c r="C48" s="21">
        <f>225</f>
        <v>225</v>
      </c>
      <c r="D48" s="19">
        <f>400+53.44+15.67</f>
        <v>469.11</v>
      </c>
      <c r="E48" s="19">
        <f>219.65</f>
        <v>219.65</v>
      </c>
      <c r="F48" s="19"/>
      <c r="G48" s="19"/>
      <c r="H48" s="19">
        <v>39.85</v>
      </c>
      <c r="I48" s="64">
        <f>23.8</f>
        <v>23.8</v>
      </c>
      <c r="J48" s="27">
        <f>34</f>
        <v>34</v>
      </c>
      <c r="K48" s="27"/>
      <c r="M48" s="27">
        <v>535.97</v>
      </c>
      <c r="N48" s="70"/>
      <c r="O48" s="19">
        <f t="shared" si="6"/>
        <v>1547.38</v>
      </c>
      <c r="P48" s="85">
        <f t="shared" si="4"/>
        <v>-1547.38</v>
      </c>
      <c r="Q48" s="91"/>
      <c r="R48" s="91"/>
      <c r="T48" s="19"/>
    </row>
    <row r="49" spans="1:20">
      <c r="A49" s="23" t="s">
        <v>24</v>
      </c>
      <c r="B49" s="32">
        <f t="shared" ref="B49:P49" si="7">SUM(B18:B48)</f>
        <v>35759</v>
      </c>
      <c r="C49" s="33">
        <f t="shared" si="7"/>
        <v>3807.47</v>
      </c>
      <c r="D49" s="33">
        <f t="shared" si="7"/>
        <v>5600.6699999999992</v>
      </c>
      <c r="E49" s="33">
        <f t="shared" si="7"/>
        <v>7704.1299999999992</v>
      </c>
      <c r="F49" s="33">
        <f t="shared" si="7"/>
        <v>1194.9999999999998</v>
      </c>
      <c r="G49" s="33">
        <f t="shared" si="7"/>
        <v>1969.4</v>
      </c>
      <c r="H49" s="33">
        <f t="shared" si="7"/>
        <v>1357.8199999999997</v>
      </c>
      <c r="I49" s="33">
        <f t="shared" si="7"/>
        <v>2546.84</v>
      </c>
      <c r="J49" s="33">
        <f t="shared" si="7"/>
        <v>1398.2</v>
      </c>
      <c r="K49" s="95">
        <f t="shared" si="7"/>
        <v>7116.2</v>
      </c>
      <c r="L49" s="95">
        <f t="shared" si="7"/>
        <v>938.37</v>
      </c>
      <c r="M49" s="95">
        <f>SUM(M18:M48)</f>
        <v>1455.62</v>
      </c>
      <c r="N49" s="33">
        <f t="shared" si="7"/>
        <v>0</v>
      </c>
      <c r="O49" s="33">
        <f t="shared" si="7"/>
        <v>35089.719999999994</v>
      </c>
      <c r="P49" s="83">
        <f t="shared" si="7"/>
        <v>669.2800000000002</v>
      </c>
      <c r="Q49" s="78"/>
      <c r="R49" s="35"/>
      <c r="S49" s="35"/>
      <c r="T49" s="34"/>
    </row>
    <row r="50" spans="1:20">
      <c r="B50" s="15"/>
      <c r="C50" s="21"/>
      <c r="D50" s="19"/>
      <c r="E50" s="19"/>
      <c r="F50" s="19"/>
      <c r="G50" s="19"/>
      <c r="H50" s="19"/>
      <c r="I50" s="19"/>
      <c r="J50" s="19"/>
      <c r="K50" s="18"/>
      <c r="L50" s="18"/>
      <c r="M50" s="18"/>
      <c r="N50" s="20"/>
      <c r="O50" s="19"/>
      <c r="P50" s="82"/>
    </row>
    <row r="51" spans="1:20" ht="23.25">
      <c r="A51" s="1" t="s">
        <v>45</v>
      </c>
      <c r="B51" s="15"/>
      <c r="C51" s="21"/>
      <c r="D51" s="19"/>
      <c r="E51" s="19"/>
      <c r="F51" s="19"/>
      <c r="G51" s="19"/>
      <c r="H51" s="19"/>
      <c r="I51" s="19"/>
      <c r="J51" s="19"/>
      <c r="K51" s="18"/>
      <c r="L51" s="18"/>
      <c r="M51" s="18"/>
      <c r="N51" s="20"/>
      <c r="O51" s="19"/>
      <c r="P51" s="82"/>
    </row>
    <row r="52" spans="1:20" ht="23.25">
      <c r="A52" s="1" t="s">
        <v>46</v>
      </c>
      <c r="C52" s="3"/>
      <c r="N52" s="4"/>
      <c r="O52" s="19"/>
      <c r="P52" s="82"/>
    </row>
    <row r="53" spans="1:20">
      <c r="B53" s="12"/>
      <c r="C53" s="21"/>
      <c r="D53" s="19"/>
      <c r="E53" s="19"/>
      <c r="F53" s="19"/>
      <c r="G53" s="19"/>
      <c r="H53" s="19"/>
      <c r="I53" s="19"/>
      <c r="J53" s="19"/>
      <c r="K53" s="18"/>
      <c r="L53" s="18"/>
      <c r="M53" s="18"/>
      <c r="N53" s="20"/>
      <c r="O53" s="19"/>
      <c r="P53" s="82"/>
    </row>
    <row r="54" spans="1:20">
      <c r="A54" s="23" t="s">
        <v>25</v>
      </c>
      <c r="B54" s="12"/>
      <c r="C54" s="21"/>
      <c r="D54" s="19"/>
      <c r="E54" s="19"/>
      <c r="F54" s="19"/>
      <c r="G54" s="19"/>
      <c r="H54" s="19"/>
      <c r="I54" s="19"/>
      <c r="J54" s="19"/>
      <c r="K54" s="18"/>
      <c r="L54" s="18"/>
      <c r="M54" s="18"/>
      <c r="N54" s="20"/>
      <c r="O54" s="19"/>
      <c r="P54" s="82"/>
      <c r="Q54" s="2"/>
    </row>
    <row r="55" spans="1:20">
      <c r="A55" t="s">
        <v>26</v>
      </c>
      <c r="B55" s="12"/>
      <c r="C55" s="21">
        <f>421.55+7+7.2+49.48+2</f>
        <v>487.23</v>
      </c>
      <c r="D55" s="19">
        <f>10.43+10.69+2</f>
        <v>23.119999999999997</v>
      </c>
      <c r="E55" s="19">
        <f>43.93+6.8+2+56.4</f>
        <v>109.13</v>
      </c>
      <c r="F55" s="19">
        <f>9.67+1.36+30+9.16+3.5+15</f>
        <v>68.69</v>
      </c>
      <c r="G55" s="19">
        <f>97.98+110+1.68</f>
        <v>209.66000000000003</v>
      </c>
      <c r="H55" s="19">
        <f>50+1.68</f>
        <v>51.68</v>
      </c>
      <c r="I55" s="19">
        <f>205.52+42+7.09+4.76+1.68</f>
        <v>261.05</v>
      </c>
      <c r="J55" s="19">
        <f>140+6.8+1.68</f>
        <v>148.48000000000002</v>
      </c>
      <c r="K55" s="18">
        <f>1.68+3.2</f>
        <v>4.88</v>
      </c>
      <c r="L55" s="18">
        <f>1.68+13.37</f>
        <v>15.049999999999999</v>
      </c>
      <c r="M55" s="18">
        <f>100+26.56+1.68</f>
        <v>128.24</v>
      </c>
      <c r="N55" s="70"/>
      <c r="O55" s="19">
        <f t="shared" ref="O55:O56" si="8">SUM(C55:N55)</f>
        <v>1507.2100000000003</v>
      </c>
      <c r="P55" s="82"/>
      <c r="Q55" s="36"/>
      <c r="R55" s="2"/>
    </row>
    <row r="56" spans="1:20">
      <c r="A56" t="s">
        <v>27</v>
      </c>
      <c r="B56" s="12"/>
      <c r="C56" s="21"/>
      <c r="D56" s="19"/>
      <c r="E56" s="19"/>
      <c r="F56" s="19"/>
      <c r="G56" s="19"/>
      <c r="H56" s="19"/>
      <c r="I56" s="19"/>
      <c r="J56" s="19"/>
      <c r="K56" s="18"/>
      <c r="L56" s="18"/>
      <c r="M56" s="18">
        <v>1905.75</v>
      </c>
      <c r="N56" s="20"/>
      <c r="O56" s="19">
        <f t="shared" si="8"/>
        <v>1905.75</v>
      </c>
      <c r="P56" s="82"/>
      <c r="Q56" s="2"/>
    </row>
    <row r="57" spans="1:20">
      <c r="A57" t="s">
        <v>28</v>
      </c>
      <c r="B57" s="37">
        <f>SUM(B55:B56)</f>
        <v>0</v>
      </c>
      <c r="C57" s="37">
        <f>C56-C55</f>
        <v>-487.23</v>
      </c>
      <c r="D57" s="37">
        <f t="shared" ref="D57:N57" si="9">D56-D55</f>
        <v>-23.119999999999997</v>
      </c>
      <c r="E57" s="37">
        <f t="shared" si="9"/>
        <v>-109.13</v>
      </c>
      <c r="F57" s="37">
        <f t="shared" si="9"/>
        <v>-68.69</v>
      </c>
      <c r="G57" s="37">
        <f t="shared" si="9"/>
        <v>-209.66000000000003</v>
      </c>
      <c r="H57" s="37">
        <f t="shared" si="9"/>
        <v>-51.68</v>
      </c>
      <c r="I57" s="37">
        <f t="shared" si="9"/>
        <v>-261.05</v>
      </c>
      <c r="J57" s="37">
        <f t="shared" si="9"/>
        <v>-148.48000000000002</v>
      </c>
      <c r="K57" s="96">
        <f t="shared" si="9"/>
        <v>-4.88</v>
      </c>
      <c r="L57" s="96">
        <f t="shared" si="9"/>
        <v>-15.049999999999999</v>
      </c>
      <c r="M57" s="96">
        <f t="shared" si="9"/>
        <v>1777.51</v>
      </c>
      <c r="N57" s="37">
        <f t="shared" si="9"/>
        <v>0</v>
      </c>
      <c r="O57" s="37">
        <f>O56-O55</f>
        <v>398.53999999999974</v>
      </c>
      <c r="P57" s="25">
        <f>O57</f>
        <v>398.53999999999974</v>
      </c>
      <c r="Q57" s="79"/>
      <c r="R57" s="35"/>
    </row>
    <row r="58" spans="1:20">
      <c r="B58" s="34"/>
      <c r="C58" s="21"/>
      <c r="D58" s="34"/>
      <c r="E58" s="34"/>
      <c r="F58" s="34"/>
      <c r="G58" s="34"/>
      <c r="H58" s="34"/>
      <c r="I58" s="34"/>
      <c r="J58" s="34"/>
      <c r="K58" s="93"/>
      <c r="L58" s="93"/>
      <c r="M58" s="93"/>
      <c r="N58" s="34"/>
      <c r="O58" s="34"/>
      <c r="P58" s="82"/>
    </row>
    <row r="59" spans="1:20">
      <c r="B59" s="34"/>
      <c r="C59" s="21"/>
      <c r="D59" s="34"/>
      <c r="E59" s="34"/>
      <c r="F59" s="34"/>
      <c r="G59" s="34"/>
      <c r="H59" s="34"/>
      <c r="I59" s="34"/>
      <c r="J59" s="34"/>
      <c r="K59" s="93"/>
      <c r="L59" s="93"/>
      <c r="M59" s="93"/>
      <c r="N59" s="34"/>
      <c r="O59" s="34"/>
      <c r="P59" s="82"/>
      <c r="S59" s="35"/>
    </row>
    <row r="60" spans="1:20">
      <c r="B60" s="34"/>
      <c r="C60" s="21"/>
      <c r="D60" s="34"/>
      <c r="E60" s="34"/>
      <c r="F60" s="34"/>
      <c r="G60" s="34"/>
      <c r="H60" s="34"/>
      <c r="I60" s="34"/>
      <c r="J60" s="34"/>
      <c r="K60" s="93"/>
      <c r="L60" s="93"/>
      <c r="M60" s="93"/>
      <c r="N60" s="34"/>
      <c r="O60" s="34"/>
      <c r="P60" s="82"/>
    </row>
    <row r="61" spans="1:20">
      <c r="B61" s="12"/>
      <c r="C61" s="21"/>
      <c r="D61" s="19"/>
      <c r="E61" s="19"/>
      <c r="F61" s="19"/>
      <c r="G61" s="19"/>
      <c r="H61" s="19"/>
      <c r="I61" s="19"/>
      <c r="J61" s="19"/>
      <c r="K61" s="18"/>
      <c r="L61" s="18"/>
      <c r="M61" s="18"/>
      <c r="N61" s="20"/>
      <c r="O61" s="19"/>
      <c r="P61" s="82"/>
      <c r="S61" s="35"/>
    </row>
    <row r="62" spans="1:20">
      <c r="A62" s="23" t="s">
        <v>29</v>
      </c>
      <c r="B62" s="12"/>
      <c r="C62" s="21"/>
      <c r="D62" s="19"/>
      <c r="E62" s="19"/>
      <c r="F62" s="19"/>
      <c r="G62" s="19"/>
      <c r="H62" s="19"/>
      <c r="I62" s="19"/>
      <c r="J62" s="19"/>
      <c r="K62" s="18"/>
      <c r="L62" s="18"/>
      <c r="M62" s="18"/>
      <c r="N62" s="20"/>
      <c r="O62" s="19"/>
      <c r="P62" s="82"/>
      <c r="S62" s="35"/>
    </row>
    <row r="63" spans="1:20">
      <c r="A63" t="s">
        <v>30</v>
      </c>
      <c r="B63" s="12"/>
      <c r="C63" s="38"/>
      <c r="D63" s="17"/>
      <c r="E63" s="17"/>
      <c r="F63" s="17"/>
      <c r="G63" s="17"/>
      <c r="H63" s="17"/>
      <c r="I63" s="18"/>
      <c r="J63" s="19"/>
      <c r="K63" s="18"/>
      <c r="L63" s="18"/>
      <c r="M63" s="18"/>
      <c r="N63" s="20"/>
      <c r="O63" s="19">
        <f t="shared" ref="O63:O64" si="10">SUM(C63:N63)</f>
        <v>0</v>
      </c>
      <c r="P63" s="82"/>
      <c r="S63" s="35"/>
    </row>
    <row r="64" spans="1:20">
      <c r="A64" t="s">
        <v>31</v>
      </c>
      <c r="B64" s="12"/>
      <c r="C64" s="21"/>
      <c r="D64" s="19"/>
      <c r="E64" s="19"/>
      <c r="F64" s="19"/>
      <c r="G64" s="19"/>
      <c r="H64" s="19"/>
      <c r="I64" s="19"/>
      <c r="J64" s="19"/>
      <c r="K64" s="18"/>
      <c r="L64" s="18"/>
      <c r="M64" s="18"/>
      <c r="N64" s="20"/>
      <c r="O64" s="19">
        <f t="shared" si="10"/>
        <v>0</v>
      </c>
      <c r="P64" s="82"/>
      <c r="Q64" s="79">
        <f>O63-O64</f>
        <v>0</v>
      </c>
      <c r="S64" s="35"/>
    </row>
    <row r="65" spans="1:20" hidden="1">
      <c r="A65" t="s">
        <v>32</v>
      </c>
      <c r="B65" s="12"/>
      <c r="C65" s="21"/>
      <c r="D65" s="19"/>
      <c r="E65" s="19"/>
      <c r="F65" s="19"/>
      <c r="G65" s="19"/>
      <c r="H65" s="19"/>
      <c r="I65" s="19"/>
      <c r="J65" s="19"/>
      <c r="K65" s="18"/>
      <c r="L65" s="18"/>
      <c r="M65" s="18"/>
      <c r="N65" s="20"/>
      <c r="O65" s="19"/>
      <c r="P65" s="82"/>
    </row>
    <row r="66" spans="1:20" hidden="1">
      <c r="A66" t="s">
        <v>33</v>
      </c>
      <c r="B66" s="12"/>
      <c r="C66" s="21"/>
      <c r="D66" s="19"/>
      <c r="E66" s="19"/>
      <c r="F66" s="19"/>
      <c r="G66" s="19"/>
      <c r="H66" s="19"/>
      <c r="I66" s="19"/>
      <c r="J66" s="19"/>
      <c r="K66" s="18"/>
      <c r="L66" s="18"/>
      <c r="M66" s="18"/>
      <c r="N66" s="20"/>
      <c r="O66" s="19"/>
      <c r="P66" s="82"/>
    </row>
    <row r="67" spans="1:20">
      <c r="B67" s="26">
        <f t="shared" ref="B67:P67" si="11">SUM(B63:B66)</f>
        <v>0</v>
      </c>
      <c r="C67" s="25">
        <f>C63-C64</f>
        <v>0</v>
      </c>
      <c r="D67" s="25">
        <f t="shared" ref="D67:N67" si="12">D63-D64</f>
        <v>0</v>
      </c>
      <c r="E67" s="25">
        <f t="shared" si="12"/>
        <v>0</v>
      </c>
      <c r="F67" s="25">
        <f t="shared" si="12"/>
        <v>0</v>
      </c>
      <c r="G67" s="25">
        <f t="shared" si="12"/>
        <v>0</v>
      </c>
      <c r="H67" s="25">
        <f t="shared" si="12"/>
        <v>0</v>
      </c>
      <c r="I67" s="25">
        <f t="shared" si="12"/>
        <v>0</v>
      </c>
      <c r="J67" s="25">
        <f t="shared" si="12"/>
        <v>0</v>
      </c>
      <c r="K67" s="92">
        <f t="shared" si="12"/>
        <v>0</v>
      </c>
      <c r="L67" s="92">
        <f t="shared" si="12"/>
        <v>0</v>
      </c>
      <c r="M67" s="92">
        <f t="shared" si="12"/>
        <v>0</v>
      </c>
      <c r="N67" s="25">
        <f t="shared" si="12"/>
        <v>0</v>
      </c>
      <c r="O67" s="25">
        <f>O63-O64</f>
        <v>0</v>
      </c>
      <c r="P67" s="25">
        <f t="shared" si="11"/>
        <v>0</v>
      </c>
      <c r="S67" s="34"/>
    </row>
    <row r="69" spans="1:20">
      <c r="A69" s="23" t="s">
        <v>34</v>
      </c>
      <c r="P69" s="35"/>
    </row>
    <row r="70" spans="1:20">
      <c r="A70" t="s">
        <v>35</v>
      </c>
      <c r="B70" s="39"/>
      <c r="C70" s="40">
        <f>B80</f>
        <v>41923.21</v>
      </c>
      <c r="D70" s="39">
        <f>C75</f>
        <v>55280.509999999995</v>
      </c>
      <c r="E70" s="39">
        <f t="shared" ref="E70:N70" si="13">D75</f>
        <v>49694.219999999994</v>
      </c>
      <c r="F70" s="39">
        <f t="shared" si="13"/>
        <v>42043.85</v>
      </c>
      <c r="G70" s="39">
        <f t="shared" si="13"/>
        <v>40780.159999999996</v>
      </c>
      <c r="H70" s="39">
        <f t="shared" si="13"/>
        <v>38606.099999999991</v>
      </c>
      <c r="I70" s="39">
        <f t="shared" si="13"/>
        <v>55008.799999999988</v>
      </c>
      <c r="J70" s="39">
        <f t="shared" si="13"/>
        <v>52200.909999999989</v>
      </c>
      <c r="K70" s="120">
        <f t="shared" si="13"/>
        <v>50654.229999999989</v>
      </c>
      <c r="L70" s="120">
        <f t="shared" si="13"/>
        <v>43688.389999999992</v>
      </c>
      <c r="M70" s="39">
        <f>L75</f>
        <v>43234.969999999987</v>
      </c>
      <c r="N70" s="39">
        <f t="shared" si="13"/>
        <v>43568.779999999984</v>
      </c>
      <c r="O70" s="39"/>
    </row>
    <row r="71" spans="1:20">
      <c r="A71" t="s">
        <v>36</v>
      </c>
      <c r="B71" s="39"/>
      <c r="C71" s="40">
        <f t="shared" ref="C71:N71" si="14">C15</f>
        <v>17652</v>
      </c>
      <c r="D71" s="40">
        <f t="shared" si="14"/>
        <v>37.5</v>
      </c>
      <c r="E71" s="40">
        <f t="shared" si="14"/>
        <v>162.88999999999999</v>
      </c>
      <c r="F71" s="40">
        <f t="shared" si="14"/>
        <v>0</v>
      </c>
      <c r="G71" s="40">
        <f t="shared" si="14"/>
        <v>5</v>
      </c>
      <c r="H71" s="40">
        <f t="shared" si="14"/>
        <v>17812.2</v>
      </c>
      <c r="I71" s="40">
        <f t="shared" si="14"/>
        <v>0</v>
      </c>
      <c r="J71" s="40">
        <f t="shared" si="14"/>
        <v>0</v>
      </c>
      <c r="K71" s="97">
        <f t="shared" si="14"/>
        <v>155.24</v>
      </c>
      <c r="L71" s="97">
        <f t="shared" si="14"/>
        <v>500</v>
      </c>
      <c r="M71" s="97">
        <f t="shared" si="14"/>
        <v>11.92</v>
      </c>
      <c r="N71" s="40">
        <f t="shared" si="14"/>
        <v>0</v>
      </c>
      <c r="O71" s="40"/>
    </row>
    <row r="72" spans="1:20">
      <c r="A72" t="s">
        <v>37</v>
      </c>
      <c r="B72" s="39">
        <f>C71+C74</f>
        <v>17652</v>
      </c>
      <c r="C72" s="40">
        <f>-C49</f>
        <v>-3807.47</v>
      </c>
      <c r="D72" s="40">
        <f>-D49</f>
        <v>-5600.6699999999992</v>
      </c>
      <c r="E72" s="40">
        <f>-E49</f>
        <v>-7704.1299999999992</v>
      </c>
      <c r="F72" s="40">
        <f>-F49</f>
        <v>-1194.9999999999998</v>
      </c>
      <c r="G72" s="40">
        <f t="shared" ref="G72:N72" si="15">-G49</f>
        <v>-1969.4</v>
      </c>
      <c r="H72" s="40">
        <f t="shared" si="15"/>
        <v>-1357.8199999999997</v>
      </c>
      <c r="I72" s="40">
        <f t="shared" si="15"/>
        <v>-2546.84</v>
      </c>
      <c r="J72" s="40">
        <f t="shared" si="15"/>
        <v>-1398.2</v>
      </c>
      <c r="K72" s="97">
        <f t="shared" si="15"/>
        <v>-7116.2</v>
      </c>
      <c r="L72" s="97">
        <f t="shared" si="15"/>
        <v>-938.37</v>
      </c>
      <c r="M72" s="97">
        <f t="shared" si="15"/>
        <v>-1455.62</v>
      </c>
      <c r="N72" s="40">
        <f t="shared" si="15"/>
        <v>0</v>
      </c>
      <c r="O72" s="40"/>
    </row>
    <row r="73" spans="1:20">
      <c r="A73" t="s">
        <v>38</v>
      </c>
      <c r="B73" s="39">
        <f>-C72-C73</f>
        <v>4294.7</v>
      </c>
      <c r="C73" s="40">
        <f t="shared" ref="C73:N73" si="16">C57</f>
        <v>-487.23</v>
      </c>
      <c r="D73" s="40">
        <f t="shared" si="16"/>
        <v>-23.119999999999997</v>
      </c>
      <c r="E73" s="40">
        <f t="shared" si="16"/>
        <v>-109.13</v>
      </c>
      <c r="F73" s="40">
        <f t="shared" si="16"/>
        <v>-68.69</v>
      </c>
      <c r="G73" s="40">
        <f t="shared" si="16"/>
        <v>-209.66000000000003</v>
      </c>
      <c r="H73" s="40">
        <f t="shared" si="16"/>
        <v>-51.68</v>
      </c>
      <c r="I73" s="40">
        <f t="shared" si="16"/>
        <v>-261.05</v>
      </c>
      <c r="J73" s="40">
        <f t="shared" si="16"/>
        <v>-148.48000000000002</v>
      </c>
      <c r="K73" s="97">
        <f t="shared" si="16"/>
        <v>-4.88</v>
      </c>
      <c r="L73" s="97">
        <f t="shared" si="16"/>
        <v>-15.049999999999999</v>
      </c>
      <c r="M73" s="97">
        <f t="shared" si="16"/>
        <v>1777.51</v>
      </c>
      <c r="N73" s="40">
        <f t="shared" si="16"/>
        <v>0</v>
      </c>
      <c r="O73" s="40"/>
    </row>
    <row r="74" spans="1:20">
      <c r="A74" t="s">
        <v>39</v>
      </c>
      <c r="B74" s="39"/>
      <c r="C74" s="40">
        <f t="shared" ref="C74:N74" si="17">C63-C64</f>
        <v>0</v>
      </c>
      <c r="D74" s="40">
        <f t="shared" si="17"/>
        <v>0</v>
      </c>
      <c r="E74" s="40">
        <f t="shared" si="17"/>
        <v>0</v>
      </c>
      <c r="F74" s="40">
        <f t="shared" si="17"/>
        <v>0</v>
      </c>
      <c r="G74" s="40">
        <f t="shared" si="17"/>
        <v>0</v>
      </c>
      <c r="H74" s="40">
        <f t="shared" si="17"/>
        <v>0</v>
      </c>
      <c r="I74" s="40">
        <f t="shared" si="17"/>
        <v>0</v>
      </c>
      <c r="J74" s="40">
        <f t="shared" si="17"/>
        <v>0</v>
      </c>
      <c r="K74" s="97">
        <f t="shared" si="17"/>
        <v>0</v>
      </c>
      <c r="L74" s="97">
        <f t="shared" si="17"/>
        <v>0</v>
      </c>
      <c r="M74" s="97">
        <f t="shared" si="17"/>
        <v>0</v>
      </c>
      <c r="N74" s="40">
        <f t="shared" si="17"/>
        <v>0</v>
      </c>
      <c r="O74" s="40"/>
    </row>
    <row r="75" spans="1:20">
      <c r="A75" t="s">
        <v>40</v>
      </c>
      <c r="C75" s="41">
        <f t="shared" ref="C75:O75" si="18">SUM(C70:C74)</f>
        <v>55280.509999999995</v>
      </c>
      <c r="D75" s="41">
        <f t="shared" si="18"/>
        <v>49694.219999999994</v>
      </c>
      <c r="E75" s="41">
        <f t="shared" si="18"/>
        <v>42043.85</v>
      </c>
      <c r="F75" s="41">
        <f t="shared" si="18"/>
        <v>40780.159999999996</v>
      </c>
      <c r="G75" s="41">
        <f t="shared" si="18"/>
        <v>38606.099999999991</v>
      </c>
      <c r="H75" s="41">
        <f t="shared" si="18"/>
        <v>55008.799999999988</v>
      </c>
      <c r="I75" s="41">
        <f t="shared" si="18"/>
        <v>52200.909999999989</v>
      </c>
      <c r="J75" s="41">
        <f t="shared" si="18"/>
        <v>50654.229999999989</v>
      </c>
      <c r="K75" s="98">
        <f t="shared" si="18"/>
        <v>43688.389999999992</v>
      </c>
      <c r="L75" s="98">
        <f t="shared" si="18"/>
        <v>43234.969999999987</v>
      </c>
      <c r="M75" s="98">
        <f t="shared" si="18"/>
        <v>43568.779999999984</v>
      </c>
      <c r="N75" s="41">
        <f t="shared" si="18"/>
        <v>43568.779999999984</v>
      </c>
      <c r="O75" s="41">
        <f t="shared" si="18"/>
        <v>0</v>
      </c>
    </row>
    <row r="76" spans="1:20">
      <c r="H76" s="7"/>
      <c r="Q76" s="35"/>
    </row>
    <row r="77" spans="1:20">
      <c r="A77" s="42" t="s">
        <v>41</v>
      </c>
      <c r="B77" s="43" t="s">
        <v>96</v>
      </c>
      <c r="C77" s="7" t="s">
        <v>97</v>
      </c>
      <c r="D77" s="7" t="s">
        <v>98</v>
      </c>
      <c r="E77" s="7" t="s">
        <v>100</v>
      </c>
      <c r="F77" s="7" t="s">
        <v>99</v>
      </c>
      <c r="G77" s="7" t="s">
        <v>101</v>
      </c>
      <c r="H77" s="7" t="s">
        <v>102</v>
      </c>
      <c r="I77" s="7" t="s">
        <v>103</v>
      </c>
      <c r="J77" s="7" t="s">
        <v>104</v>
      </c>
      <c r="K77" s="118" t="s">
        <v>105</v>
      </c>
      <c r="L77" s="118" t="s">
        <v>106</v>
      </c>
      <c r="M77" s="7" t="s">
        <v>107</v>
      </c>
      <c r="N77" s="7" t="s">
        <v>108</v>
      </c>
      <c r="O77" s="7"/>
      <c r="Q77" s="35"/>
    </row>
    <row r="78" spans="1:20">
      <c r="A78" t="s">
        <v>42</v>
      </c>
      <c r="B78" s="44">
        <v>14075.07</v>
      </c>
      <c r="C78" s="44">
        <f>27432.37</f>
        <v>27432.37</v>
      </c>
      <c r="D78" s="44">
        <v>21846.080000000002</v>
      </c>
      <c r="E78" s="44">
        <v>14032.82</v>
      </c>
      <c r="F78" s="44">
        <v>12769.13</v>
      </c>
      <c r="G78" s="44">
        <v>10595.07</v>
      </c>
      <c r="H78" s="44">
        <v>26838.91</v>
      </c>
      <c r="I78" s="44">
        <v>24031.02</v>
      </c>
      <c r="J78" s="44">
        <f>22484.34</f>
        <v>22484.34</v>
      </c>
      <c r="K78" s="18">
        <v>15363.26</v>
      </c>
      <c r="L78" s="18">
        <v>14909.84</v>
      </c>
      <c r="M78" s="18">
        <f>15243.65</f>
        <v>15243.65</v>
      </c>
      <c r="N78" s="44"/>
      <c r="O78" s="44"/>
      <c r="Q78" s="35"/>
      <c r="T78" s="44"/>
    </row>
    <row r="79" spans="1:20">
      <c r="A79" t="s">
        <v>43</v>
      </c>
      <c r="B79" s="19">
        <v>27848.14</v>
      </c>
      <c r="C79" s="19">
        <f>27848.14</f>
        <v>27848.14</v>
      </c>
      <c r="D79" s="19">
        <v>27848.14</v>
      </c>
      <c r="E79" s="19">
        <v>28011.03</v>
      </c>
      <c r="F79" s="19">
        <v>28011.03</v>
      </c>
      <c r="G79" s="19">
        <v>28011.03</v>
      </c>
      <c r="H79" s="19">
        <v>28169.89</v>
      </c>
      <c r="I79" s="19">
        <v>28169.89</v>
      </c>
      <c r="J79" s="19">
        <v>28169.89</v>
      </c>
      <c r="K79" s="18">
        <v>28325.13</v>
      </c>
      <c r="L79" s="18">
        <v>28325.13</v>
      </c>
      <c r="M79" s="18">
        <f>28325.13</f>
        <v>28325.13</v>
      </c>
      <c r="N79" s="19"/>
      <c r="O79" s="19"/>
      <c r="T79" s="19"/>
    </row>
    <row r="80" spans="1:20">
      <c r="B80" s="45">
        <f t="shared" ref="B80:O80" si="19">SUM(B78:B79)</f>
        <v>41923.21</v>
      </c>
      <c r="C80" s="46">
        <f t="shared" si="19"/>
        <v>55280.509999999995</v>
      </c>
      <c r="D80" s="46">
        <f t="shared" si="19"/>
        <v>49694.22</v>
      </c>
      <c r="E80" s="46">
        <f t="shared" si="19"/>
        <v>42043.85</v>
      </c>
      <c r="F80" s="46">
        <f t="shared" si="19"/>
        <v>40780.159999999996</v>
      </c>
      <c r="G80" s="46">
        <f t="shared" si="19"/>
        <v>38606.1</v>
      </c>
      <c r="H80" s="46">
        <f t="shared" si="19"/>
        <v>55008.800000000003</v>
      </c>
      <c r="I80" s="46">
        <f t="shared" si="19"/>
        <v>52200.91</v>
      </c>
      <c r="J80" s="46">
        <f t="shared" si="19"/>
        <v>50654.229999999996</v>
      </c>
      <c r="K80" s="98">
        <f t="shared" si="19"/>
        <v>43688.39</v>
      </c>
      <c r="L80" s="98">
        <f t="shared" si="19"/>
        <v>43234.97</v>
      </c>
      <c r="M80" s="98">
        <f t="shared" si="19"/>
        <v>43568.78</v>
      </c>
      <c r="N80" s="46">
        <f t="shared" si="19"/>
        <v>0</v>
      </c>
      <c r="O80" s="46">
        <f t="shared" si="19"/>
        <v>0</v>
      </c>
      <c r="Q80" s="19">
        <f>-Q15+Q49+Q57+Q64</f>
        <v>0</v>
      </c>
    </row>
    <row r="81" spans="1:17">
      <c r="Q81" s="35"/>
    </row>
    <row r="82" spans="1:17">
      <c r="A82" s="31" t="s">
        <v>44</v>
      </c>
      <c r="C82" s="35">
        <f t="shared" ref="C82:O82" si="20">C75-C80</f>
        <v>0</v>
      </c>
      <c r="D82" s="35">
        <f t="shared" si="20"/>
        <v>0</v>
      </c>
      <c r="E82" s="35">
        <f t="shared" si="20"/>
        <v>0</v>
      </c>
      <c r="F82" s="35">
        <f t="shared" si="20"/>
        <v>0</v>
      </c>
      <c r="G82" s="35">
        <f t="shared" si="20"/>
        <v>0</v>
      </c>
      <c r="H82" s="35">
        <f t="shared" si="20"/>
        <v>0</v>
      </c>
      <c r="I82" s="35">
        <f t="shared" si="20"/>
        <v>0</v>
      </c>
      <c r="J82" s="35">
        <f t="shared" si="20"/>
        <v>0</v>
      </c>
      <c r="K82" s="121">
        <f t="shared" si="20"/>
        <v>0</v>
      </c>
      <c r="L82" s="121">
        <f t="shared" si="20"/>
        <v>0</v>
      </c>
      <c r="M82" s="35">
        <f t="shared" si="20"/>
        <v>0</v>
      </c>
      <c r="N82" s="35"/>
      <c r="O82" s="35">
        <f t="shared" si="20"/>
        <v>0</v>
      </c>
      <c r="Q82" s="35"/>
    </row>
    <row r="83" spans="1:17">
      <c r="D83" s="35"/>
      <c r="N83" s="35"/>
    </row>
  </sheetData>
  <pageMargins left="0.70866141732283472" right="0.70866141732283472" top="0.74803149606299213" bottom="0.74803149606299213" header="0.31496062992125984" footer="0.31496062992125984"/>
  <pageSetup scale="32"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B431E-CACF-48D0-97FF-AE31D880FBB5}">
  <sheetPr>
    <pageSetUpPr fitToPage="1"/>
  </sheetPr>
  <dimension ref="A1:R44"/>
  <sheetViews>
    <sheetView topLeftCell="A11" workbookViewId="0">
      <selection activeCell="N22" sqref="N22"/>
    </sheetView>
  </sheetViews>
  <sheetFormatPr defaultColWidth="8.85546875" defaultRowHeight="15"/>
  <cols>
    <col min="1" max="1" width="21.28515625" customWidth="1"/>
    <col min="2" max="4" width="10.42578125" customWidth="1"/>
    <col min="5" max="5" width="9.42578125" bestFit="1" customWidth="1"/>
    <col min="7" max="8" width="9.140625" customWidth="1"/>
    <col min="9" max="9" width="10.85546875" customWidth="1"/>
    <col min="10" max="15" width="9.140625" customWidth="1"/>
    <col min="16" max="16" width="13.85546875" customWidth="1"/>
  </cols>
  <sheetData>
    <row r="1" spans="1:18" ht="23.25">
      <c r="A1" s="58" t="s">
        <v>45</v>
      </c>
    </row>
    <row r="2" spans="1:18" ht="23.25">
      <c r="A2" s="58" t="s">
        <v>109</v>
      </c>
    </row>
    <row r="4" spans="1:18">
      <c r="B4" s="7" t="s">
        <v>71</v>
      </c>
      <c r="C4" s="7" t="s">
        <v>189</v>
      </c>
      <c r="P4" s="7" t="s">
        <v>72</v>
      </c>
    </row>
    <row r="5" spans="1:18">
      <c r="B5" s="7" t="s">
        <v>110</v>
      </c>
      <c r="C5" s="7" t="s">
        <v>190</v>
      </c>
      <c r="D5" s="7" t="s">
        <v>73</v>
      </c>
      <c r="E5" s="7" t="s">
        <v>3</v>
      </c>
      <c r="F5" s="7" t="s">
        <v>4</v>
      </c>
      <c r="G5" s="7" t="s">
        <v>5</v>
      </c>
      <c r="H5" s="7" t="s">
        <v>74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75</v>
      </c>
      <c r="P5" s="7" t="s">
        <v>76</v>
      </c>
    </row>
    <row r="8" spans="1:18">
      <c r="A8" s="23" t="s">
        <v>77</v>
      </c>
    </row>
    <row r="9" spans="1:18">
      <c r="D9" s="7" t="s">
        <v>73</v>
      </c>
      <c r="E9" s="7" t="s">
        <v>3</v>
      </c>
      <c r="F9" s="7" t="s">
        <v>135</v>
      </c>
      <c r="G9" s="7" t="s">
        <v>136</v>
      </c>
      <c r="H9" s="7" t="s">
        <v>74</v>
      </c>
      <c r="I9" s="7" t="s">
        <v>137</v>
      </c>
      <c r="J9" s="7" t="s">
        <v>8</v>
      </c>
      <c r="K9" s="7" t="s">
        <v>9</v>
      </c>
      <c r="L9" s="7" t="s">
        <v>10</v>
      </c>
      <c r="M9" s="7" t="s">
        <v>11</v>
      </c>
      <c r="N9" s="7" t="s">
        <v>12</v>
      </c>
      <c r="O9" s="7" t="s">
        <v>75</v>
      </c>
      <c r="P9" s="39"/>
    </row>
    <row r="10" spans="1:18">
      <c r="A10" t="s">
        <v>78</v>
      </c>
      <c r="B10" s="39">
        <v>79.28</v>
      </c>
      <c r="C10" s="39"/>
      <c r="D10" s="39">
        <f>22.5</f>
        <v>22.5</v>
      </c>
      <c r="E10" s="39">
        <v>37.5</v>
      </c>
      <c r="F10" s="39"/>
      <c r="G10" s="40">
        <f>-48.37-75-17.47</f>
        <v>-140.84</v>
      </c>
      <c r="H10" s="39">
        <v>5</v>
      </c>
      <c r="I10" s="39"/>
      <c r="J10" s="39"/>
      <c r="K10" s="39"/>
      <c r="L10" s="39"/>
      <c r="M10" s="39"/>
      <c r="N10" s="39"/>
      <c r="O10" s="39"/>
      <c r="P10" s="39">
        <f>SUM(B10:O10)</f>
        <v>3.4399999999999977</v>
      </c>
      <c r="R10" s="80"/>
    </row>
    <row r="11" spans="1:18" ht="14.25" customHeight="1"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</row>
    <row r="12" spans="1:18">
      <c r="A12" t="s">
        <v>79</v>
      </c>
      <c r="B12" s="39">
        <v>438.25</v>
      </c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>
        <f>SUM(B12:O12)</f>
        <v>438.25</v>
      </c>
    </row>
    <row r="13" spans="1:18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</row>
    <row r="14" spans="1:18">
      <c r="A14" t="s">
        <v>80</v>
      </c>
      <c r="B14" s="39">
        <v>5720</v>
      </c>
      <c r="C14" s="39"/>
      <c r="D14" s="39"/>
      <c r="E14" s="39"/>
      <c r="F14" s="40"/>
      <c r="G14" s="39"/>
      <c r="H14" s="39"/>
      <c r="I14" s="39"/>
      <c r="J14" s="39"/>
      <c r="K14" s="39"/>
      <c r="L14" s="39"/>
      <c r="M14" s="39"/>
      <c r="N14" s="39"/>
      <c r="O14" s="39"/>
      <c r="P14" s="39">
        <f>SUM(B14:O14)</f>
        <v>5720</v>
      </c>
    </row>
    <row r="15" spans="1:18"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</row>
    <row r="16" spans="1:18">
      <c r="A16" t="s">
        <v>81</v>
      </c>
      <c r="B16" s="39">
        <v>7017.75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>
        <f>SUM(B16:O16)</f>
        <v>7017.75</v>
      </c>
    </row>
    <row r="17" spans="1:16"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</row>
    <row r="18" spans="1:16">
      <c r="A18" t="s">
        <v>82</v>
      </c>
      <c r="B18" s="39">
        <v>420.78</v>
      </c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>
        <f>SUM(B18:O18)</f>
        <v>420.78</v>
      </c>
    </row>
    <row r="19" spans="1:16"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</row>
    <row r="20" spans="1:16">
      <c r="A20" t="s">
        <v>83</v>
      </c>
      <c r="B20" s="39">
        <v>1000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>
        <f>SUM(B20:O20)</f>
        <v>1000</v>
      </c>
    </row>
    <row r="21" spans="1:16"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</row>
    <row r="22" spans="1:16">
      <c r="A22" t="s">
        <v>139</v>
      </c>
      <c r="B22" s="39">
        <f>784.13+500</f>
        <v>1284.1300000000001</v>
      </c>
      <c r="C22" s="39">
        <v>-23.4</v>
      </c>
      <c r="D22" s="39">
        <v>-225</v>
      </c>
      <c r="E22" s="39">
        <f>-400-53.44-15.67</f>
        <v>-469.11</v>
      </c>
      <c r="F22" s="39">
        <v>-219.65</v>
      </c>
      <c r="G22" s="39"/>
      <c r="H22" s="39"/>
      <c r="I22" s="39">
        <v>-39.85</v>
      </c>
      <c r="J22" s="39">
        <v>-23.8</v>
      </c>
      <c r="K22" s="39">
        <v>-34</v>
      </c>
      <c r="L22" s="39"/>
      <c r="M22" s="19">
        <f>500</f>
        <v>500</v>
      </c>
      <c r="N22" s="99">
        <v>-535.97</v>
      </c>
      <c r="O22" s="39"/>
      <c r="P22" s="39">
        <f>SUM(B22:O22)</f>
        <v>213.34999999999991</v>
      </c>
    </row>
    <row r="23" spans="1:16"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</row>
    <row r="24" spans="1:16">
      <c r="A24" t="s">
        <v>84</v>
      </c>
      <c r="B24" s="39">
        <v>5221.09</v>
      </c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>
        <f>SUM(B24:O24)</f>
        <v>5221.09</v>
      </c>
    </row>
    <row r="25" spans="1:16"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</row>
    <row r="26" spans="1:16">
      <c r="A26" s="23" t="s">
        <v>85</v>
      </c>
      <c r="B26" s="59">
        <f>SUM(B10:B25)</f>
        <v>21181.279999999999</v>
      </c>
      <c r="C26" s="59">
        <f>SUM(C10:C25)</f>
        <v>-23.4</v>
      </c>
      <c r="D26" s="59">
        <f t="shared" ref="D26:P26" si="0">SUM(D10:D25)</f>
        <v>-202.5</v>
      </c>
      <c r="E26" s="59">
        <f t="shared" si="0"/>
        <v>-431.61</v>
      </c>
      <c r="F26" s="59">
        <f t="shared" si="0"/>
        <v>-219.65</v>
      </c>
      <c r="G26" s="59">
        <f t="shared" si="0"/>
        <v>-140.84</v>
      </c>
      <c r="H26" s="59">
        <f t="shared" si="0"/>
        <v>5</v>
      </c>
      <c r="I26" s="59">
        <f t="shared" si="0"/>
        <v>-39.85</v>
      </c>
      <c r="J26" s="59">
        <f t="shared" si="0"/>
        <v>-23.8</v>
      </c>
      <c r="K26" s="59">
        <f t="shared" si="0"/>
        <v>-34</v>
      </c>
      <c r="L26" s="59">
        <f t="shared" si="0"/>
        <v>0</v>
      </c>
      <c r="M26" s="59">
        <f t="shared" si="0"/>
        <v>500</v>
      </c>
      <c r="N26" s="59">
        <f t="shared" si="0"/>
        <v>-535.97</v>
      </c>
      <c r="O26" s="59">
        <f t="shared" si="0"/>
        <v>0</v>
      </c>
      <c r="P26" s="59">
        <f t="shared" si="0"/>
        <v>20034.66</v>
      </c>
    </row>
    <row r="27" spans="1:16"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</row>
    <row r="28" spans="1:16">
      <c r="A28" s="23" t="s">
        <v>86</v>
      </c>
      <c r="B28" s="39">
        <v>20741.93</v>
      </c>
      <c r="C28" s="39">
        <v>23.4</v>
      </c>
      <c r="D28" s="39"/>
      <c r="E28" s="40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>
        <f>SUM(B28:O28)</f>
        <v>20765.330000000002</v>
      </c>
    </row>
    <row r="29" spans="1:16"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</row>
    <row r="30" spans="1:16" ht="15.75" thickBot="1">
      <c r="A30" s="23" t="s">
        <v>87</v>
      </c>
      <c r="B30" s="60">
        <f>SUM(B26:B29)</f>
        <v>41923.21</v>
      </c>
      <c r="C30" s="60">
        <f>SUM(C26:C29)</f>
        <v>0</v>
      </c>
      <c r="D30" s="60">
        <f t="shared" ref="D30:P30" si="1">SUM(D26:D29)</f>
        <v>-202.5</v>
      </c>
      <c r="E30" s="60">
        <f t="shared" si="1"/>
        <v>-431.61</v>
      </c>
      <c r="F30" s="60">
        <f t="shared" si="1"/>
        <v>-219.65</v>
      </c>
      <c r="G30" s="60">
        <f t="shared" si="1"/>
        <v>-140.84</v>
      </c>
      <c r="H30" s="60">
        <f t="shared" si="1"/>
        <v>5</v>
      </c>
      <c r="I30" s="60">
        <f t="shared" si="1"/>
        <v>-39.85</v>
      </c>
      <c r="J30" s="60">
        <f t="shared" si="1"/>
        <v>-23.8</v>
      </c>
      <c r="K30" s="60">
        <f t="shared" si="1"/>
        <v>-34</v>
      </c>
      <c r="L30" s="60">
        <f t="shared" si="1"/>
        <v>0</v>
      </c>
      <c r="M30" s="60">
        <f t="shared" si="1"/>
        <v>500</v>
      </c>
      <c r="N30" s="60">
        <f t="shared" si="1"/>
        <v>-535.97</v>
      </c>
      <c r="O30" s="60">
        <f t="shared" si="1"/>
        <v>0</v>
      </c>
      <c r="P30" s="60">
        <f t="shared" si="1"/>
        <v>40799.990000000005</v>
      </c>
    </row>
    <row r="31" spans="1:16" ht="15.75" thickTop="1">
      <c r="O31" s="39"/>
    </row>
    <row r="32" spans="1:16">
      <c r="B32" s="7" t="s">
        <v>88</v>
      </c>
      <c r="C32" s="7"/>
      <c r="O32" s="31"/>
      <c r="P32" s="19"/>
    </row>
    <row r="33" spans="2:16">
      <c r="B33" s="7" t="s">
        <v>89</v>
      </c>
      <c r="C33" s="7"/>
    </row>
    <row r="34" spans="2:16">
      <c r="I34" s="31"/>
      <c r="O34" s="31"/>
      <c r="P34" s="18"/>
    </row>
    <row r="35" spans="2:16">
      <c r="I35" s="81"/>
      <c r="P35" s="18"/>
    </row>
    <row r="36" spans="2:16">
      <c r="I36" s="81"/>
      <c r="P36" s="35"/>
    </row>
    <row r="37" spans="2:16">
      <c r="I37" s="84"/>
      <c r="P37" s="35"/>
    </row>
    <row r="38" spans="2:16">
      <c r="I38" s="84"/>
      <c r="P38" s="35"/>
    </row>
    <row r="39" spans="2:16">
      <c r="I39" s="84"/>
      <c r="P39" s="35"/>
    </row>
    <row r="40" spans="2:16">
      <c r="I40" s="34"/>
    </row>
    <row r="41" spans="2:16">
      <c r="I41" s="34"/>
    </row>
    <row r="42" spans="2:16">
      <c r="I42" s="34"/>
    </row>
    <row r="43" spans="2:16">
      <c r="I43" s="34"/>
    </row>
    <row r="44" spans="2:16">
      <c r="I44" s="34">
        <f>SUM(I38:I43)</f>
        <v>0</v>
      </c>
      <c r="K44" s="80"/>
      <c r="M44" s="80"/>
    </row>
  </sheetData>
  <pageMargins left="0.7" right="0.7" top="0.75" bottom="0.75" header="0.3" footer="0.3"/>
  <pageSetup scale="72" orientation="landscape" horizontalDpi="4294967293" vertic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E410C-A832-4CD5-A13C-7287C3C2D6FE}">
  <sheetPr>
    <pageSetUpPr fitToPage="1"/>
  </sheetPr>
  <dimension ref="A1:W48"/>
  <sheetViews>
    <sheetView workbookViewId="0">
      <selection activeCell="G14" sqref="G14"/>
    </sheetView>
  </sheetViews>
  <sheetFormatPr defaultColWidth="11.42578125" defaultRowHeight="15"/>
  <cols>
    <col min="1" max="1" width="6.85546875" style="102" customWidth="1"/>
    <col min="2" max="2" width="9" style="102" customWidth="1"/>
    <col min="3" max="3" width="15.7109375" style="102" customWidth="1"/>
    <col min="4" max="4" width="17.7109375" style="102" customWidth="1"/>
    <col min="5" max="5" width="13.85546875" style="102" customWidth="1"/>
    <col min="6" max="7" width="10" style="102" customWidth="1"/>
    <col min="8" max="8" width="10.140625" style="102" customWidth="1"/>
    <col min="9" max="9" width="9.140625" style="102" customWidth="1"/>
    <col min="10" max="10" width="9" style="102" customWidth="1"/>
    <col min="11" max="11" width="8" style="102" customWidth="1"/>
    <col min="12" max="12" width="8.140625" style="102" customWidth="1"/>
    <col min="13" max="14" width="11.42578125" style="102"/>
    <col min="15" max="15" width="9.28515625" style="102" customWidth="1"/>
    <col min="16" max="16" width="9.140625" style="102" customWidth="1"/>
    <col min="17" max="18" width="11.42578125" style="102" customWidth="1"/>
    <col min="19" max="19" width="9.7109375" style="102" customWidth="1"/>
    <col min="20" max="20" width="11.42578125" style="102"/>
    <col min="21" max="21" width="32.140625" style="102" customWidth="1"/>
    <col min="22" max="16384" width="11.42578125" style="102"/>
  </cols>
  <sheetData>
    <row r="1" spans="1:23">
      <c r="A1" s="100"/>
      <c r="B1" s="101" t="s">
        <v>154</v>
      </c>
      <c r="C1" s="101"/>
      <c r="D1" s="101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</row>
    <row r="2" spans="1:23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</row>
    <row r="3" spans="1:23">
      <c r="A3" s="101" t="s">
        <v>155</v>
      </c>
      <c r="B3" s="101" t="s">
        <v>156</v>
      </c>
      <c r="C3" s="101" t="s">
        <v>157</v>
      </c>
      <c r="D3" s="101" t="s">
        <v>159</v>
      </c>
      <c r="E3" s="101" t="s">
        <v>158</v>
      </c>
      <c r="F3" s="101" t="s">
        <v>191</v>
      </c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 t="s">
        <v>193</v>
      </c>
      <c r="T3" s="100"/>
      <c r="U3" s="100"/>
    </row>
    <row r="4" spans="1:23">
      <c r="A4" s="101"/>
      <c r="B4" s="100"/>
      <c r="C4" s="100"/>
      <c r="D4" s="100"/>
      <c r="E4" s="100" t="s">
        <v>182</v>
      </c>
      <c r="F4" s="101" t="s">
        <v>190</v>
      </c>
      <c r="G4" s="101" t="s">
        <v>73</v>
      </c>
      <c r="H4" s="101" t="s">
        <v>3</v>
      </c>
      <c r="I4" s="101" t="s">
        <v>4</v>
      </c>
      <c r="J4" s="101" t="s">
        <v>5</v>
      </c>
      <c r="K4" s="101" t="s">
        <v>6</v>
      </c>
      <c r="L4" s="101" t="s">
        <v>7</v>
      </c>
      <c r="M4" s="101" t="s">
        <v>160</v>
      </c>
      <c r="N4" s="101" t="s">
        <v>9</v>
      </c>
      <c r="O4" s="101" t="s">
        <v>10</v>
      </c>
      <c r="P4" s="101" t="s">
        <v>11</v>
      </c>
      <c r="Q4" s="101" t="s">
        <v>12</v>
      </c>
      <c r="R4" s="101" t="s">
        <v>13</v>
      </c>
      <c r="S4" s="101" t="s">
        <v>192</v>
      </c>
      <c r="T4" s="101" t="s">
        <v>161</v>
      </c>
      <c r="U4" s="101" t="s">
        <v>162</v>
      </c>
    </row>
    <row r="5" spans="1:23">
      <c r="L5" s="103"/>
      <c r="M5" s="103"/>
      <c r="N5" s="103"/>
      <c r="O5" s="103"/>
      <c r="P5" s="103"/>
      <c r="Q5" s="103"/>
      <c r="R5" s="103"/>
      <c r="S5" s="103"/>
      <c r="T5" s="104"/>
    </row>
    <row r="6" spans="1:23">
      <c r="A6" s="101"/>
      <c r="E6" s="105"/>
      <c r="G6" s="103"/>
      <c r="H6" s="103"/>
      <c r="I6" s="103"/>
      <c r="J6" s="103"/>
      <c r="K6" s="103"/>
      <c r="L6" s="103"/>
      <c r="M6" s="103"/>
      <c r="T6" s="106"/>
    </row>
    <row r="7" spans="1:23">
      <c r="A7" s="101"/>
      <c r="E7" s="105"/>
      <c r="G7" s="103"/>
      <c r="H7" s="103"/>
      <c r="I7" s="103"/>
      <c r="J7" s="103"/>
      <c r="K7" s="103"/>
      <c r="L7" s="103"/>
      <c r="M7" s="103"/>
      <c r="T7" s="106"/>
    </row>
    <row r="8" spans="1:23">
      <c r="A8" s="101" t="s">
        <v>163</v>
      </c>
      <c r="B8" s="102" t="s">
        <v>164</v>
      </c>
      <c r="C8" s="102" t="s">
        <v>165</v>
      </c>
      <c r="D8" s="102" t="s">
        <v>166</v>
      </c>
      <c r="E8" s="105">
        <v>500</v>
      </c>
      <c r="F8" s="99">
        <v>-23.4</v>
      </c>
      <c r="G8" s="107">
        <v>-225</v>
      </c>
      <c r="H8" s="107"/>
      <c r="I8" s="108"/>
      <c r="J8" s="107"/>
      <c r="K8" s="107"/>
      <c r="L8" s="107">
        <v>-39.85</v>
      </c>
      <c r="M8" s="107">
        <v>-23.8</v>
      </c>
      <c r="N8" s="107">
        <v>-34</v>
      </c>
      <c r="O8" s="108"/>
      <c r="P8" s="108"/>
      <c r="Q8" s="108"/>
      <c r="R8" s="108"/>
      <c r="S8" s="108">
        <f>SUM(G8:R8)</f>
        <v>-322.65000000000003</v>
      </c>
      <c r="T8" s="109">
        <f>E8+F8+S8</f>
        <v>153.94999999999999</v>
      </c>
      <c r="U8" s="102" t="s">
        <v>167</v>
      </c>
    </row>
    <row r="9" spans="1:23">
      <c r="A9" s="101"/>
      <c r="B9" s="102" t="s">
        <v>168</v>
      </c>
      <c r="C9" s="102" t="s">
        <v>165</v>
      </c>
      <c r="D9" s="102" t="s">
        <v>169</v>
      </c>
      <c r="E9" s="105">
        <v>400</v>
      </c>
      <c r="G9" s="107"/>
      <c r="H9" s="107">
        <v>-400</v>
      </c>
      <c r="I9" s="107"/>
      <c r="J9" s="107"/>
      <c r="K9" s="107"/>
      <c r="L9" s="107"/>
      <c r="M9" s="107"/>
      <c r="N9" s="108"/>
      <c r="O9" s="108"/>
      <c r="P9" s="108"/>
      <c r="Q9" s="108"/>
      <c r="R9" s="108"/>
      <c r="S9" s="108">
        <f t="shared" ref="S9:S10" si="0">SUM(G9:R9)</f>
        <v>-400</v>
      </c>
      <c r="T9" s="109">
        <f>E9+S9</f>
        <v>0</v>
      </c>
    </row>
    <row r="10" spans="1:23">
      <c r="A10" s="101"/>
      <c r="B10" s="102" t="s">
        <v>170</v>
      </c>
      <c r="C10" s="102" t="s">
        <v>184</v>
      </c>
      <c r="D10" s="102" t="s">
        <v>171</v>
      </c>
      <c r="E10" s="105">
        <v>384.13</v>
      </c>
      <c r="G10" s="108"/>
      <c r="H10" s="108">
        <f>-53.44-15.67</f>
        <v>-69.11</v>
      </c>
      <c r="I10" s="108">
        <v>-219.65</v>
      </c>
      <c r="J10" s="108"/>
      <c r="K10" s="107"/>
      <c r="L10" s="107"/>
      <c r="M10" s="107"/>
      <c r="N10" s="108"/>
      <c r="O10" s="108"/>
      <c r="P10" s="108"/>
      <c r="Q10" s="108">
        <v>-35.97</v>
      </c>
      <c r="R10" s="108"/>
      <c r="S10" s="108">
        <f t="shared" si="0"/>
        <v>-324.73</v>
      </c>
      <c r="T10" s="109">
        <f>E10+S10</f>
        <v>59.399999999999977</v>
      </c>
      <c r="U10" s="102" t="s">
        <v>172</v>
      </c>
      <c r="W10" s="102" t="s">
        <v>198</v>
      </c>
    </row>
    <row r="11" spans="1:23">
      <c r="A11" s="110" t="s">
        <v>186</v>
      </c>
      <c r="B11" s="102" t="s">
        <v>185</v>
      </c>
      <c r="C11" s="102" t="s">
        <v>184</v>
      </c>
      <c r="D11" s="111" t="s">
        <v>169</v>
      </c>
      <c r="E11" s="105"/>
      <c r="G11" s="107"/>
      <c r="H11" s="108"/>
      <c r="I11" s="107"/>
      <c r="J11" s="107"/>
      <c r="K11" s="107"/>
      <c r="L11" s="107"/>
      <c r="M11" s="107"/>
      <c r="N11" s="108"/>
      <c r="O11" s="108"/>
      <c r="P11" s="108">
        <f>500</f>
        <v>500</v>
      </c>
      <c r="Q11" s="108">
        <v>-500</v>
      </c>
      <c r="R11" s="108"/>
      <c r="S11" s="108">
        <f>SUM(Q11:R11)</f>
        <v>-500</v>
      </c>
      <c r="T11" s="109">
        <f>P11+S11</f>
        <v>0</v>
      </c>
    </row>
    <row r="12" spans="1:23">
      <c r="E12" s="112">
        <f>SUM(E8:E11)</f>
        <v>1284.1300000000001</v>
      </c>
      <c r="F12" s="113">
        <f t="shared" ref="F12:M12" si="1">SUM(F8:F11)</f>
        <v>-23.4</v>
      </c>
      <c r="G12" s="113">
        <f t="shared" si="1"/>
        <v>-225</v>
      </c>
      <c r="H12" s="113">
        <f t="shared" si="1"/>
        <v>-469.11</v>
      </c>
      <c r="I12" s="113">
        <f t="shared" si="1"/>
        <v>-219.65</v>
      </c>
      <c r="J12" s="113">
        <f t="shared" si="1"/>
        <v>0</v>
      </c>
      <c r="K12" s="113">
        <f t="shared" si="1"/>
        <v>0</v>
      </c>
      <c r="L12" s="113">
        <f t="shared" si="1"/>
        <v>-39.85</v>
      </c>
      <c r="M12" s="113">
        <f t="shared" si="1"/>
        <v>-23.8</v>
      </c>
      <c r="N12" s="113">
        <f t="shared" ref="N12:T12" si="2">SUM(N8:N11)</f>
        <v>-34</v>
      </c>
      <c r="O12" s="113">
        <f t="shared" si="2"/>
        <v>0</v>
      </c>
      <c r="P12" s="113">
        <f t="shared" si="2"/>
        <v>500</v>
      </c>
      <c r="Q12" s="113">
        <f t="shared" si="2"/>
        <v>-535.97</v>
      </c>
      <c r="R12" s="113">
        <f t="shared" si="2"/>
        <v>0</v>
      </c>
      <c r="S12" s="113">
        <f>SUM(S8:S11)</f>
        <v>-1547.38</v>
      </c>
      <c r="T12" s="113">
        <f t="shared" si="2"/>
        <v>213.34999999999997</v>
      </c>
    </row>
    <row r="13" spans="1:23">
      <c r="B13" s="106"/>
      <c r="E13" s="105"/>
      <c r="T13" s="106"/>
    </row>
    <row r="14" spans="1:23" ht="117">
      <c r="B14" s="114"/>
      <c r="E14" s="105"/>
      <c r="T14" s="106"/>
      <c r="U14" s="103" t="s">
        <v>199</v>
      </c>
    </row>
    <row r="15" spans="1:23">
      <c r="E15" s="105"/>
      <c r="T15" s="106"/>
    </row>
    <row r="16" spans="1:23" ht="18">
      <c r="B16" s="114"/>
      <c r="T16" s="106"/>
    </row>
    <row r="18" spans="2:2" ht="18">
      <c r="B18" s="114"/>
    </row>
    <row r="20" spans="2:2" ht="18">
      <c r="B20" s="114"/>
    </row>
    <row r="22" spans="2:2" ht="18">
      <c r="B22" s="114"/>
    </row>
    <row r="39" spans="1:20">
      <c r="A39" s="106" t="s">
        <v>173</v>
      </c>
    </row>
    <row r="42" spans="1:20">
      <c r="A42" s="101" t="s">
        <v>174</v>
      </c>
      <c r="C42" s="102" t="s">
        <v>175</v>
      </c>
      <c r="E42" s="115">
        <v>425</v>
      </c>
    </row>
    <row r="43" spans="1:20">
      <c r="A43" s="101"/>
    </row>
    <row r="44" spans="1:20">
      <c r="A44" s="101" t="s">
        <v>176</v>
      </c>
      <c r="B44" s="102" t="s">
        <v>177</v>
      </c>
      <c r="C44" s="102" t="s">
        <v>178</v>
      </c>
      <c r="E44" s="115">
        <v>250</v>
      </c>
      <c r="T44" s="106">
        <v>0</v>
      </c>
    </row>
    <row r="45" spans="1:20">
      <c r="A45" s="101"/>
      <c r="T45" s="106"/>
    </row>
    <row r="46" spans="1:20">
      <c r="A46" s="101"/>
      <c r="E46" s="105"/>
      <c r="T46" s="106"/>
    </row>
    <row r="47" spans="1:20">
      <c r="A47" s="101" t="s">
        <v>179</v>
      </c>
      <c r="B47" s="116" t="s">
        <v>187</v>
      </c>
      <c r="C47" s="102" t="s">
        <v>180</v>
      </c>
      <c r="E47" s="115">
        <v>500</v>
      </c>
      <c r="G47" s="102">
        <v>-500</v>
      </c>
      <c r="T47" s="106">
        <v>0</v>
      </c>
    </row>
    <row r="48" spans="1:20">
      <c r="B48" s="116" t="s">
        <v>188</v>
      </c>
      <c r="C48" s="102" t="s">
        <v>181</v>
      </c>
      <c r="E48" s="115">
        <v>15</v>
      </c>
      <c r="G48" s="102">
        <v>-15</v>
      </c>
      <c r="T48" s="106">
        <v>0</v>
      </c>
    </row>
  </sheetData>
  <pageMargins left="0.7" right="0.7" top="0.75" bottom="0.75" header="0.3" footer="0.3"/>
  <pageSetup paperSize="9" scale="54" orientation="landscape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907A5-CCCC-42A0-A833-7069F9F4619C}">
  <sheetPr>
    <pageSetUpPr fitToPage="1"/>
  </sheetPr>
  <dimension ref="A1:M81"/>
  <sheetViews>
    <sheetView topLeftCell="A51" workbookViewId="0">
      <selection activeCell="A72" sqref="A72"/>
    </sheetView>
  </sheetViews>
  <sheetFormatPr defaultColWidth="8.85546875" defaultRowHeight="15"/>
  <cols>
    <col min="1" max="1" width="30" customWidth="1"/>
    <col min="3" max="4" width="9.42578125" bestFit="1" customWidth="1"/>
    <col min="8" max="8" width="9.42578125" bestFit="1" customWidth="1"/>
    <col min="11" max="11" width="12.42578125" customWidth="1"/>
    <col min="13" max="13" width="9.42578125" bestFit="1" customWidth="1"/>
  </cols>
  <sheetData>
    <row r="1" spans="1:13" ht="18.75">
      <c r="A1" s="47" t="s">
        <v>111</v>
      </c>
    </row>
    <row r="3" spans="1:13">
      <c r="A3" s="23" t="s">
        <v>112</v>
      </c>
      <c r="H3" t="s">
        <v>63</v>
      </c>
    </row>
    <row r="4" spans="1:13">
      <c r="A4" t="s">
        <v>131</v>
      </c>
      <c r="C4" s="27">
        <v>421.55</v>
      </c>
    </row>
    <row r="5" spans="1:13">
      <c r="A5" t="s">
        <v>132</v>
      </c>
      <c r="C5" s="27">
        <v>7</v>
      </c>
      <c r="E5" s="2"/>
      <c r="M5" s="7"/>
    </row>
    <row r="6" spans="1:13">
      <c r="A6" t="s">
        <v>132</v>
      </c>
      <c r="C6" s="27">
        <v>7.2</v>
      </c>
      <c r="E6" s="62"/>
    </row>
    <row r="7" spans="1:13">
      <c r="A7" t="s">
        <v>133</v>
      </c>
      <c r="C7" s="27">
        <v>49.48</v>
      </c>
      <c r="K7" s="61"/>
      <c r="M7" s="19"/>
    </row>
    <row r="8" spans="1:13">
      <c r="A8" t="s">
        <v>134</v>
      </c>
      <c r="C8" s="27">
        <v>2</v>
      </c>
      <c r="M8" s="19"/>
    </row>
    <row r="9" spans="1:13">
      <c r="C9" s="48"/>
      <c r="D9" s="35">
        <f>SUM(C4:C8)</f>
        <v>487.23</v>
      </c>
      <c r="E9" t="s">
        <v>64</v>
      </c>
      <c r="H9" s="35">
        <f>'Monthly monitoring &amp; reconcilia'!C55-D9</f>
        <v>0</v>
      </c>
      <c r="I9" s="35">
        <f>D9</f>
        <v>487.23</v>
      </c>
      <c r="M9" s="19"/>
    </row>
    <row r="10" spans="1:13">
      <c r="A10" s="23" t="s">
        <v>113</v>
      </c>
      <c r="M10" s="46"/>
    </row>
    <row r="11" spans="1:13">
      <c r="A11" t="s">
        <v>140</v>
      </c>
      <c r="C11" s="44">
        <v>10.43</v>
      </c>
      <c r="M11" s="19"/>
    </row>
    <row r="12" spans="1:13">
      <c r="A12" t="s">
        <v>141</v>
      </c>
      <c r="C12" s="44">
        <v>10.69</v>
      </c>
      <c r="M12" s="19"/>
    </row>
    <row r="13" spans="1:13">
      <c r="A13" t="s">
        <v>134</v>
      </c>
      <c r="C13" s="44">
        <v>2</v>
      </c>
    </row>
    <row r="14" spans="1:13">
      <c r="C14" s="48"/>
      <c r="D14" s="35">
        <f>SUM(C11:C13)</f>
        <v>23.119999999999997</v>
      </c>
      <c r="E14" t="s">
        <v>64</v>
      </c>
      <c r="H14" s="35">
        <f>'Monthly monitoring &amp; reconcilia'!D55-D14</f>
        <v>0</v>
      </c>
      <c r="I14" s="35">
        <f>D14</f>
        <v>23.119999999999997</v>
      </c>
      <c r="M14" s="19"/>
    </row>
    <row r="15" spans="1:13">
      <c r="A15" s="23" t="s">
        <v>114</v>
      </c>
    </row>
    <row r="16" spans="1:13">
      <c r="A16" t="s">
        <v>138</v>
      </c>
      <c r="C16" s="44">
        <v>43.93</v>
      </c>
    </row>
    <row r="17" spans="1:9">
      <c r="A17" t="s">
        <v>134</v>
      </c>
      <c r="C17" s="44">
        <v>2</v>
      </c>
    </row>
    <row r="18" spans="1:9">
      <c r="A18" s="23" t="s">
        <v>132</v>
      </c>
      <c r="C18" s="44">
        <v>6.8</v>
      </c>
    </row>
    <row r="19" spans="1:9">
      <c r="A19" s="23" t="s">
        <v>132</v>
      </c>
      <c r="C19" s="44">
        <v>56.4</v>
      </c>
    </row>
    <row r="20" spans="1:9">
      <c r="C20" s="48"/>
      <c r="D20" s="35">
        <f>SUM(C16:C19)</f>
        <v>109.13</v>
      </c>
      <c r="E20" t="s">
        <v>64</v>
      </c>
      <c r="H20" s="35">
        <f>'Monthly monitoring &amp; reconcilia'!E55-D20</f>
        <v>0</v>
      </c>
      <c r="I20" s="35">
        <f>D20</f>
        <v>109.13</v>
      </c>
    </row>
    <row r="21" spans="1:9">
      <c r="A21" s="23" t="s">
        <v>115</v>
      </c>
    </row>
    <row r="22" spans="1:9">
      <c r="A22" t="s">
        <v>138</v>
      </c>
      <c r="C22" s="19">
        <f>9.67</f>
        <v>9.67</v>
      </c>
    </row>
    <row r="23" spans="1:9">
      <c r="A23" s="23" t="s">
        <v>142</v>
      </c>
      <c r="C23" s="19">
        <f>30</f>
        <v>30</v>
      </c>
    </row>
    <row r="24" spans="1:9">
      <c r="A24" t="s">
        <v>134</v>
      </c>
      <c r="C24" s="19">
        <f>1.36</f>
        <v>1.36</v>
      </c>
    </row>
    <row r="25" spans="1:9">
      <c r="A25" s="23" t="s">
        <v>144</v>
      </c>
      <c r="C25" s="44">
        <v>9.16</v>
      </c>
    </row>
    <row r="26" spans="1:9">
      <c r="A26" t="s">
        <v>145</v>
      </c>
      <c r="B26" s="23"/>
      <c r="C26" s="44">
        <v>3.5</v>
      </c>
      <c r="H26" s="35"/>
    </row>
    <row r="27" spans="1:9">
      <c r="A27" t="s">
        <v>143</v>
      </c>
      <c r="C27" s="19">
        <v>15</v>
      </c>
    </row>
    <row r="28" spans="1:9">
      <c r="C28" s="48"/>
      <c r="D28" s="19">
        <f>SUM(C22:C27)</f>
        <v>68.69</v>
      </c>
      <c r="E28" t="s">
        <v>64</v>
      </c>
      <c r="H28" s="35">
        <f>'Monthly monitoring &amp; reconcilia'!F55-D28</f>
        <v>0</v>
      </c>
      <c r="I28" s="35">
        <f>D28</f>
        <v>68.69</v>
      </c>
    </row>
    <row r="29" spans="1:9">
      <c r="A29" s="23" t="s">
        <v>116</v>
      </c>
    </row>
    <row r="30" spans="1:9">
      <c r="A30" t="s">
        <v>147</v>
      </c>
      <c r="C30" s="44">
        <v>97.98</v>
      </c>
    </row>
    <row r="31" spans="1:9">
      <c r="A31" t="s">
        <v>146</v>
      </c>
      <c r="C31" s="44">
        <v>110</v>
      </c>
    </row>
    <row r="32" spans="1:9">
      <c r="A32" t="s">
        <v>134</v>
      </c>
      <c r="C32" s="44">
        <v>1.68</v>
      </c>
    </row>
    <row r="33" spans="1:9">
      <c r="C33" s="48"/>
      <c r="D33" s="19">
        <f>SUM(C30:C32)</f>
        <v>209.66000000000003</v>
      </c>
      <c r="E33" t="s">
        <v>64</v>
      </c>
      <c r="H33" s="35">
        <f>'Monthly monitoring &amp; reconcilia'!G55-D33</f>
        <v>0</v>
      </c>
      <c r="I33" s="35">
        <f>D33</f>
        <v>209.66000000000003</v>
      </c>
    </row>
    <row r="35" spans="1:9">
      <c r="A35" s="23" t="s">
        <v>117</v>
      </c>
    </row>
    <row r="36" spans="1:9">
      <c r="A36" s="23" t="s">
        <v>142</v>
      </c>
      <c r="C36" s="44">
        <v>50</v>
      </c>
    </row>
    <row r="37" spans="1:9">
      <c r="A37" t="s">
        <v>134</v>
      </c>
      <c r="C37" s="44">
        <v>1.68</v>
      </c>
    </row>
    <row r="38" spans="1:9">
      <c r="C38" s="44"/>
    </row>
    <row r="39" spans="1:9">
      <c r="D39" s="35">
        <f>SUM(C36:C38)</f>
        <v>51.68</v>
      </c>
      <c r="E39" t="s">
        <v>64</v>
      </c>
      <c r="H39" s="35">
        <f>'Monthly monitoring &amp; reconcilia'!H55-D39</f>
        <v>0</v>
      </c>
      <c r="I39" s="35">
        <f>D39</f>
        <v>51.68</v>
      </c>
    </row>
    <row r="41" spans="1:9">
      <c r="A41" s="23" t="s">
        <v>118</v>
      </c>
    </row>
    <row r="42" spans="1:9">
      <c r="A42" t="s">
        <v>148</v>
      </c>
      <c r="B42" s="19"/>
      <c r="C42" s="44">
        <v>205.52</v>
      </c>
    </row>
    <row r="43" spans="1:9">
      <c r="A43" t="s">
        <v>149</v>
      </c>
      <c r="C43" s="44">
        <v>42</v>
      </c>
    </row>
    <row r="44" spans="1:9">
      <c r="A44" t="s">
        <v>151</v>
      </c>
      <c r="C44" s="44">
        <v>7.09</v>
      </c>
    </row>
    <row r="45" spans="1:9">
      <c r="A45" t="s">
        <v>150</v>
      </c>
      <c r="C45" s="44">
        <v>4.76</v>
      </c>
    </row>
    <row r="46" spans="1:9">
      <c r="A46" s="61" t="s">
        <v>134</v>
      </c>
      <c r="C46" s="44">
        <v>1.68</v>
      </c>
    </row>
    <row r="47" spans="1:9">
      <c r="C47" s="48"/>
      <c r="D47" s="50">
        <f>SUM(C42:C46)</f>
        <v>261.05</v>
      </c>
      <c r="E47" t="s">
        <v>64</v>
      </c>
      <c r="H47" s="35">
        <f>'Monthly monitoring &amp; reconcilia'!I55-D47</f>
        <v>0</v>
      </c>
      <c r="I47" s="35">
        <f>D47</f>
        <v>261.05</v>
      </c>
    </row>
    <row r="49" spans="1:11">
      <c r="A49" s="23" t="s">
        <v>119</v>
      </c>
    </row>
    <row r="50" spans="1:11">
      <c r="A50" s="51" t="s">
        <v>152</v>
      </c>
      <c r="C50" s="72">
        <v>140</v>
      </c>
    </row>
    <row r="51" spans="1:11">
      <c r="A51" t="s">
        <v>150</v>
      </c>
      <c r="C51" s="72">
        <v>6.8</v>
      </c>
    </row>
    <row r="52" spans="1:11">
      <c r="A52" s="23" t="s">
        <v>134</v>
      </c>
      <c r="C52" s="72">
        <v>1.68</v>
      </c>
    </row>
    <row r="53" spans="1:11">
      <c r="D53" s="35">
        <f>SUM(C50:C52)</f>
        <v>148.48000000000002</v>
      </c>
      <c r="E53" t="s">
        <v>64</v>
      </c>
      <c r="H53" s="35">
        <f>'Monthly monitoring &amp; reconcilia'!J55-D53</f>
        <v>0</v>
      </c>
      <c r="I53" s="35">
        <f>D53</f>
        <v>148.48000000000002</v>
      </c>
    </row>
    <row r="55" spans="1:11">
      <c r="A55" s="23" t="s">
        <v>120</v>
      </c>
    </row>
    <row r="56" spans="1:11">
      <c r="A56" s="51" t="s">
        <v>134</v>
      </c>
      <c r="C56" s="73">
        <v>1.68</v>
      </c>
    </row>
    <row r="57" spans="1:11">
      <c r="A57" s="51" t="s">
        <v>153</v>
      </c>
      <c r="C57" s="73">
        <v>3.2</v>
      </c>
    </row>
    <row r="58" spans="1:11">
      <c r="D58" s="35">
        <f>SUM(C56:C57)</f>
        <v>4.88</v>
      </c>
      <c r="E58" t="s">
        <v>64</v>
      </c>
      <c r="H58" s="35">
        <f>'Monthly monitoring &amp; reconcilia'!K55-D58</f>
        <v>0</v>
      </c>
      <c r="I58" s="35">
        <f>D58</f>
        <v>4.88</v>
      </c>
      <c r="K58" s="35">
        <f>SUM(I9:I58)</f>
        <v>1363.9200000000003</v>
      </c>
    </row>
    <row r="59" spans="1:11" ht="15.75" thickBot="1">
      <c r="B59" s="88" t="s">
        <v>195</v>
      </c>
      <c r="C59" s="86"/>
      <c r="D59" s="87"/>
    </row>
    <row r="60" spans="1:11">
      <c r="A60" s="23" t="s">
        <v>121</v>
      </c>
      <c r="D60" s="35"/>
    </row>
    <row r="61" spans="1:11">
      <c r="A61" s="23" t="s">
        <v>134</v>
      </c>
      <c r="C61" s="19">
        <v>1.68</v>
      </c>
      <c r="D61" s="35"/>
    </row>
    <row r="62" spans="1:11">
      <c r="A62" s="23" t="s">
        <v>183</v>
      </c>
      <c r="C62" s="19">
        <v>13.37</v>
      </c>
      <c r="D62" s="35"/>
    </row>
    <row r="63" spans="1:11">
      <c r="C63" s="49"/>
      <c r="D63" s="35"/>
    </row>
    <row r="64" spans="1:11">
      <c r="D64" s="35">
        <f>SUM(C61:C63)</f>
        <v>15.049999999999999</v>
      </c>
      <c r="E64" t="s">
        <v>64</v>
      </c>
      <c r="H64" s="35">
        <f>'Monthly monitoring &amp; reconcilia'!L55-D64</f>
        <v>0</v>
      </c>
      <c r="I64" s="19">
        <f>D64</f>
        <v>15.049999999999999</v>
      </c>
      <c r="K64" s="35">
        <f>SUM(I9:I64)</f>
        <v>1378.9700000000003</v>
      </c>
    </row>
    <row r="66" spans="1:11">
      <c r="A66" s="23" t="s">
        <v>122</v>
      </c>
      <c r="D66" s="35"/>
      <c r="I66" s="52"/>
    </row>
    <row r="67" spans="1:11">
      <c r="A67" s="53" t="s">
        <v>196</v>
      </c>
      <c r="B67" s="51"/>
      <c r="C67" s="74">
        <v>100</v>
      </c>
      <c r="D67" s="35"/>
    </row>
    <row r="68" spans="1:11">
      <c r="A68" s="53" t="s">
        <v>197</v>
      </c>
      <c r="B68" s="51"/>
      <c r="C68" s="75">
        <v>26.56</v>
      </c>
      <c r="D68" s="35"/>
    </row>
    <row r="69" spans="1:11">
      <c r="A69" s="53" t="s">
        <v>134</v>
      </c>
      <c r="B69" s="53"/>
      <c r="C69" s="75">
        <v>1.68</v>
      </c>
      <c r="D69" s="35"/>
    </row>
    <row r="70" spans="1:11">
      <c r="A70" s="23"/>
      <c r="C70" s="48"/>
      <c r="D70" s="35">
        <f>SUM(C67:C69)</f>
        <v>128.24</v>
      </c>
      <c r="E70" t="s">
        <v>64</v>
      </c>
      <c r="H70" s="35">
        <f>'Monthly monitoring &amp; reconcilia'!M55-D70</f>
        <v>0</v>
      </c>
      <c r="I70" s="35">
        <f>D70</f>
        <v>128.24</v>
      </c>
    </row>
    <row r="71" spans="1:11">
      <c r="A71" s="23"/>
      <c r="D71" s="35"/>
    </row>
    <row r="72" spans="1:11">
      <c r="A72" s="23" t="s">
        <v>123</v>
      </c>
      <c r="D72" s="35"/>
      <c r="K72" s="34"/>
    </row>
    <row r="73" spans="1:11">
      <c r="A73" s="51"/>
      <c r="C73" s="19"/>
      <c r="D73" s="35"/>
    </row>
    <row r="74" spans="1:11">
      <c r="A74" s="51"/>
      <c r="C74" s="19"/>
      <c r="D74" s="35"/>
    </row>
    <row r="75" spans="1:11">
      <c r="A75" s="53"/>
      <c r="C75" s="19"/>
      <c r="D75" s="35"/>
    </row>
    <row r="76" spans="1:11">
      <c r="A76" s="51"/>
      <c r="C76" s="34"/>
      <c r="D76" s="35"/>
    </row>
    <row r="77" spans="1:11">
      <c r="A77" s="51"/>
      <c r="C77" s="49"/>
      <c r="D77" s="35"/>
    </row>
    <row r="78" spans="1:11">
      <c r="C78" s="19"/>
      <c r="D78" s="35">
        <f>SUM(C73:C77)</f>
        <v>0</v>
      </c>
      <c r="E78" t="s">
        <v>64</v>
      </c>
      <c r="H78" s="35">
        <f>'Monthly monitoring &amp; reconcilia'!N55-D78</f>
        <v>0</v>
      </c>
      <c r="I78" s="35">
        <f>D78</f>
        <v>0</v>
      </c>
    </row>
    <row r="79" spans="1:11">
      <c r="C79" s="19"/>
      <c r="D79" s="35"/>
    </row>
    <row r="81" spans="4:5">
      <c r="D81" s="54">
        <f>SUM(D9:D80)</f>
        <v>1507.2100000000003</v>
      </c>
      <c r="E81" t="s">
        <v>65</v>
      </c>
    </row>
  </sheetData>
  <pageMargins left="0.7" right="0.7" top="0.75" bottom="0.75" header="0.3" footer="0.3"/>
  <pageSetup paperSize="9" scale="5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Monthly monitoring &amp; reconcilia</vt:lpstr>
      <vt:lpstr>Reserves</vt:lpstr>
      <vt:lpstr>GRANT MOVEMENTS</vt:lpstr>
      <vt:lpstr>VAT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Whitehead</dc:creator>
  <cp:lastModifiedBy>Maggie Burt</cp:lastModifiedBy>
  <cp:lastPrinted>2026-03-08T20:44:34Z</cp:lastPrinted>
  <dcterms:created xsi:type="dcterms:W3CDTF">2024-04-30T16:33:23Z</dcterms:created>
  <dcterms:modified xsi:type="dcterms:W3CDTF">2026-03-12T10:06:34Z</dcterms:modified>
</cp:coreProperties>
</file>