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3c9615714693b5/Desktop/Clerk - General/Monthly Budget Reports/2026-27/"/>
    </mc:Choice>
  </mc:AlternateContent>
  <xr:revisionPtr revIDLastSave="13" documentId="8_{1D04B69A-BD3C-4C85-8A08-7AA698DC4BE0}" xr6:coauthVersionLast="47" xr6:coauthVersionMax="47" xr10:uidLastSave="{C71A441F-B947-4BC4-A6FF-D95206D26ACF}"/>
  <bookViews>
    <workbookView xWindow="-120" yWindow="-120" windowWidth="29040" windowHeight="15720" activeTab="2" xr2:uid="{90B392CA-34F5-4D2E-BFBF-6ED576880F90}"/>
  </bookViews>
  <sheets>
    <sheet name="Monthly monitoring &amp; reconcilia" sheetId="1" r:id="rId1"/>
    <sheet name="Reserves" sheetId="3" r:id="rId2"/>
    <sheet name="GRANT MOVEMENTS" sheetId="5" r:id="rId3"/>
    <sheet name="VAT" sheetId="2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  <c r="G52" i="1"/>
  <c r="F32" i="2" l="1"/>
  <c r="J32" i="2" s="1"/>
  <c r="K32" i="2"/>
  <c r="I11" i="5"/>
  <c r="G33" i="1"/>
  <c r="G18" i="1"/>
  <c r="F23" i="1"/>
  <c r="F21" i="1"/>
  <c r="F18" i="1"/>
  <c r="F59" i="1"/>
  <c r="F33" i="1"/>
  <c r="E33" i="1"/>
  <c r="D41" i="1"/>
  <c r="D24" i="1"/>
  <c r="D23" i="1"/>
  <c r="E13" i="2"/>
  <c r="E15" i="2" l="1"/>
  <c r="F76" i="2"/>
  <c r="K76" i="2" s="1"/>
  <c r="F69" i="2"/>
  <c r="K69" i="2" s="1"/>
  <c r="F63" i="2"/>
  <c r="K63" i="2" s="1"/>
  <c r="F57" i="2"/>
  <c r="K57" i="2" s="1"/>
  <c r="F52" i="2"/>
  <c r="K52" i="2" s="1"/>
  <c r="F46" i="2"/>
  <c r="J46" i="2" s="1"/>
  <c r="F38" i="2"/>
  <c r="J38" i="2" s="1"/>
  <c r="F25" i="2"/>
  <c r="K25" i="2" s="1"/>
  <c r="F21" i="2"/>
  <c r="J21" i="2" s="1"/>
  <c r="F18" i="2"/>
  <c r="K18" i="2" s="1"/>
  <c r="F9" i="2"/>
  <c r="K9" i="2" s="1"/>
  <c r="D38" i="1"/>
  <c r="O78" i="1"/>
  <c r="O75" i="1"/>
  <c r="D33" i="1"/>
  <c r="K38" i="2" l="1"/>
  <c r="J9" i="2"/>
  <c r="J76" i="2"/>
  <c r="K46" i="2"/>
  <c r="K21" i="2"/>
  <c r="J18" i="2"/>
  <c r="J57" i="2"/>
  <c r="J63" i="2"/>
  <c r="J69" i="2"/>
  <c r="J25" i="2"/>
  <c r="J52" i="2"/>
  <c r="F79" i="2"/>
  <c r="M63" i="2" l="1"/>
  <c r="M57" i="2"/>
  <c r="D9" i="3"/>
  <c r="C33" i="1"/>
  <c r="C14" i="1"/>
  <c r="C21" i="1"/>
  <c r="C18" i="1"/>
  <c r="C23" i="3"/>
  <c r="C17" i="3"/>
  <c r="C59" i="1"/>
  <c r="D21" i="3" l="1"/>
  <c r="O23" i="1"/>
  <c r="P23" i="1" s="1"/>
  <c r="C52" i="1"/>
  <c r="O34" i="1"/>
  <c r="P34" i="1" s="1"/>
  <c r="O30" i="1"/>
  <c r="P30" i="1" s="1"/>
  <c r="B21" i="1"/>
  <c r="B82" i="1"/>
  <c r="P25" i="3"/>
  <c r="P29" i="3" s="1"/>
  <c r="Q27" i="3"/>
  <c r="Q23" i="3"/>
  <c r="Q19" i="3"/>
  <c r="Q17" i="3"/>
  <c r="Q15" i="3"/>
  <c r="Q13" i="3"/>
  <c r="Q11" i="3"/>
  <c r="Q8" i="5"/>
  <c r="R8" i="5" s="1"/>
  <c r="C25" i="3" l="1"/>
  <c r="C29" i="3" s="1"/>
  <c r="O12" i="1" l="1"/>
  <c r="P12" i="1" s="1"/>
  <c r="Q9" i="5"/>
  <c r="L11" i="5"/>
  <c r="M11" i="5"/>
  <c r="N11" i="5"/>
  <c r="O11" i="5"/>
  <c r="P11" i="5"/>
  <c r="K11" i="5"/>
  <c r="J11" i="5"/>
  <c r="H11" i="5"/>
  <c r="G11" i="5"/>
  <c r="F11" i="5"/>
  <c r="E11" i="5"/>
  <c r="D11" i="5"/>
  <c r="Q21" i="3"/>
  <c r="R9" i="5" l="1"/>
  <c r="R11" i="5" s="1"/>
  <c r="Q11" i="5"/>
  <c r="Q9" i="3"/>
  <c r="O21" i="1"/>
  <c r="P21" i="1" s="1"/>
  <c r="O20" i="1"/>
  <c r="P20" i="1" s="1"/>
  <c r="O19" i="1"/>
  <c r="P19" i="1" s="1"/>
  <c r="D71" i="1" l="1"/>
  <c r="E71" i="1"/>
  <c r="F71" i="1"/>
  <c r="G71" i="1"/>
  <c r="H71" i="1"/>
  <c r="I71" i="1"/>
  <c r="J71" i="1"/>
  <c r="K71" i="1"/>
  <c r="L71" i="1"/>
  <c r="M71" i="1"/>
  <c r="N71" i="1"/>
  <c r="O36" i="1"/>
  <c r="P36" i="1" s="1"/>
  <c r="O51" i="1" l="1"/>
  <c r="P51" i="1" s="1"/>
  <c r="O13" i="1"/>
  <c r="P13" i="1" s="1"/>
  <c r="O26" i="1" l="1"/>
  <c r="P26" i="1" s="1"/>
  <c r="O25" i="3" l="1"/>
  <c r="O29" i="3" s="1"/>
  <c r="N25" i="3"/>
  <c r="N29" i="3" s="1"/>
  <c r="M25" i="3"/>
  <c r="M29" i="3" s="1"/>
  <c r="L25" i="3"/>
  <c r="L29" i="3" s="1"/>
  <c r="K25" i="3"/>
  <c r="K29" i="3" s="1"/>
  <c r="J25" i="3"/>
  <c r="J29" i="3" s="1"/>
  <c r="I25" i="3"/>
  <c r="I29" i="3" s="1"/>
  <c r="H25" i="3"/>
  <c r="H29" i="3" s="1"/>
  <c r="G25" i="3"/>
  <c r="G29" i="3" s="1"/>
  <c r="F25" i="3"/>
  <c r="F29" i="3" s="1"/>
  <c r="B25" i="3"/>
  <c r="B29" i="3" s="1"/>
  <c r="D25" i="3"/>
  <c r="D29" i="3" s="1"/>
  <c r="O48" i="1"/>
  <c r="P48" i="1" s="1"/>
  <c r="O49" i="1"/>
  <c r="P49" i="1" s="1"/>
  <c r="O44" i="1"/>
  <c r="P44" i="1" s="1"/>
  <c r="O45" i="1"/>
  <c r="P45" i="1" s="1"/>
  <c r="O46" i="1"/>
  <c r="P46" i="1" s="1"/>
  <c r="O47" i="1"/>
  <c r="P47" i="1" s="1"/>
  <c r="O9" i="1"/>
  <c r="O10" i="1"/>
  <c r="P10" i="1" s="1"/>
  <c r="C71" i="1"/>
  <c r="O11" i="1"/>
  <c r="P11" i="1" s="1"/>
  <c r="O18" i="1" l="1"/>
  <c r="E25" i="3"/>
  <c r="E29" i="3" s="1"/>
  <c r="O50" i="1"/>
  <c r="P50" i="1" s="1"/>
  <c r="Q25" i="3" l="1"/>
  <c r="Q29" i="3" s="1"/>
  <c r="C61" i="1" l="1"/>
  <c r="C77" i="1" s="1"/>
  <c r="O84" i="1"/>
  <c r="N84" i="1"/>
  <c r="M84" i="1"/>
  <c r="L84" i="1"/>
  <c r="K84" i="1"/>
  <c r="J84" i="1"/>
  <c r="I84" i="1"/>
  <c r="H84" i="1"/>
  <c r="G84" i="1"/>
  <c r="F84" i="1"/>
  <c r="C84" i="1"/>
  <c r="E84" i="1"/>
  <c r="D84" i="1"/>
  <c r="B84" i="1"/>
  <c r="C74" i="1" s="1"/>
  <c r="N78" i="1"/>
  <c r="M78" i="1"/>
  <c r="L78" i="1"/>
  <c r="K78" i="1"/>
  <c r="J78" i="1"/>
  <c r="I78" i="1"/>
  <c r="H78" i="1"/>
  <c r="G78" i="1"/>
  <c r="F78" i="1"/>
  <c r="E78" i="1"/>
  <c r="D78" i="1"/>
  <c r="P71" i="1"/>
  <c r="B71" i="1"/>
  <c r="O68" i="1"/>
  <c r="O67" i="1"/>
  <c r="M61" i="1"/>
  <c r="M77" i="1" s="1"/>
  <c r="L61" i="1"/>
  <c r="L77" i="1" s="1"/>
  <c r="K61" i="1"/>
  <c r="K77" i="1" s="1"/>
  <c r="H61" i="1"/>
  <c r="H77" i="1" s="1"/>
  <c r="G61" i="1"/>
  <c r="G77" i="1" s="1"/>
  <c r="B61" i="1"/>
  <c r="O60" i="1"/>
  <c r="N61" i="1"/>
  <c r="N77" i="1" s="1"/>
  <c r="J61" i="1"/>
  <c r="J77" i="1" s="1"/>
  <c r="I61" i="1"/>
  <c r="I77" i="1" s="1"/>
  <c r="F61" i="1"/>
  <c r="F77" i="1" s="1"/>
  <c r="E61" i="1"/>
  <c r="E77" i="1" s="1"/>
  <c r="D61" i="1"/>
  <c r="D77" i="1" s="1"/>
  <c r="B53" i="1"/>
  <c r="O52" i="1"/>
  <c r="P52" i="1" s="1"/>
  <c r="O43" i="1"/>
  <c r="P43" i="1" s="1"/>
  <c r="O42" i="1"/>
  <c r="P42" i="1" s="1"/>
  <c r="O40" i="1"/>
  <c r="P40" i="1" s="1"/>
  <c r="O39" i="1"/>
  <c r="P39" i="1" s="1"/>
  <c r="O38" i="1"/>
  <c r="P38" i="1" s="1"/>
  <c r="O37" i="1"/>
  <c r="P37" i="1" s="1"/>
  <c r="O35" i="1"/>
  <c r="P35" i="1" s="1"/>
  <c r="O33" i="1"/>
  <c r="P33" i="1" s="1"/>
  <c r="O32" i="1"/>
  <c r="P32" i="1" s="1"/>
  <c r="O31" i="1"/>
  <c r="P31" i="1" s="1"/>
  <c r="O29" i="1"/>
  <c r="P29" i="1" s="1"/>
  <c r="O28" i="1"/>
  <c r="P28" i="1" s="1"/>
  <c r="O27" i="1"/>
  <c r="P27" i="1" s="1"/>
  <c r="O25" i="1"/>
  <c r="P25" i="1" s="1"/>
  <c r="L53" i="1"/>
  <c r="L76" i="1" s="1"/>
  <c r="K53" i="1"/>
  <c r="K76" i="1" s="1"/>
  <c r="H53" i="1"/>
  <c r="H76" i="1" s="1"/>
  <c r="F53" i="1"/>
  <c r="F76" i="1" s="1"/>
  <c r="E53" i="1"/>
  <c r="E76" i="1" s="1"/>
  <c r="D53" i="1"/>
  <c r="O24" i="1"/>
  <c r="P24" i="1" s="1"/>
  <c r="I53" i="1"/>
  <c r="I76" i="1" s="1"/>
  <c r="O22" i="1"/>
  <c r="P22" i="1" s="1"/>
  <c r="N53" i="1"/>
  <c r="N76" i="1" s="1"/>
  <c r="M53" i="1"/>
  <c r="M76" i="1" s="1"/>
  <c r="J53" i="1"/>
  <c r="J76" i="1" s="1"/>
  <c r="G53" i="1"/>
  <c r="G76" i="1" s="1"/>
  <c r="C53" i="1"/>
  <c r="C76" i="1" s="1"/>
  <c r="M15" i="1"/>
  <c r="M75" i="1" s="1"/>
  <c r="J15" i="1"/>
  <c r="J75" i="1" s="1"/>
  <c r="I15" i="1"/>
  <c r="I75" i="1" s="1"/>
  <c r="F15" i="1"/>
  <c r="F75" i="1" s="1"/>
  <c r="E15" i="1"/>
  <c r="E75" i="1" s="1"/>
  <c r="D15" i="1"/>
  <c r="D75" i="1" s="1"/>
  <c r="B15" i="1"/>
  <c r="O14" i="1"/>
  <c r="P14" i="1" s="1"/>
  <c r="K15" i="1"/>
  <c r="K75" i="1" s="1"/>
  <c r="P9" i="1"/>
  <c r="L15" i="1"/>
  <c r="L75" i="1" s="1"/>
  <c r="G15" i="1"/>
  <c r="G75" i="1" s="1"/>
  <c r="O8" i="1"/>
  <c r="P8" i="1" s="1"/>
  <c r="H15" i="1"/>
  <c r="H75" i="1" s="1"/>
  <c r="C15" i="1"/>
  <c r="C75" i="1" s="1"/>
  <c r="D76" i="1" l="1"/>
  <c r="O76" i="1"/>
  <c r="O77" i="1"/>
  <c r="Q68" i="1"/>
  <c r="O71" i="1"/>
  <c r="Q85" i="1"/>
  <c r="P15" i="1"/>
  <c r="N15" i="1"/>
  <c r="N75" i="1" s="1"/>
  <c r="O59" i="1"/>
  <c r="O15" i="1"/>
  <c r="C78" i="1"/>
  <c r="C79" i="1" s="1"/>
  <c r="O79" i="1" l="1"/>
  <c r="O61" i="1"/>
  <c r="C86" i="1"/>
  <c r="D74" i="1"/>
  <c r="D79" i="1" s="1"/>
  <c r="O53" i="1"/>
  <c r="P18" i="1"/>
  <c r="P53" i="1" l="1"/>
  <c r="Q84" i="1"/>
  <c r="P61" i="1"/>
  <c r="O86" i="1"/>
  <c r="E74" i="1"/>
  <c r="E79" i="1" s="1"/>
  <c r="D86" i="1"/>
  <c r="I43" i="3" l="1"/>
  <c r="F74" i="1"/>
  <c r="F79" i="1" s="1"/>
  <c r="E86" i="1"/>
  <c r="G74" i="1" l="1"/>
  <c r="G79" i="1" s="1"/>
  <c r="F86" i="1"/>
  <c r="G86" i="1" l="1"/>
  <c r="H74" i="1"/>
  <c r="H79" i="1" s="1"/>
  <c r="H86" i="1" l="1"/>
  <c r="I74" i="1"/>
  <c r="I79" i="1" s="1"/>
  <c r="J74" i="1" l="1"/>
  <c r="J79" i="1" s="1"/>
  <c r="I86" i="1"/>
  <c r="K74" i="1" l="1"/>
  <c r="K79" i="1" s="1"/>
  <c r="J86" i="1"/>
  <c r="K86" i="1" l="1"/>
  <c r="L74" i="1"/>
  <c r="L79" i="1" s="1"/>
  <c r="L86" i="1" l="1"/>
  <c r="M74" i="1"/>
  <c r="M79" i="1" s="1"/>
  <c r="N74" i="1" l="1"/>
  <c r="M86" i="1"/>
  <c r="N79" i="1" l="1"/>
  <c r="N8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tc={D1AF017F-12BA-4379-84C4-E0E87D42D8C4}</author>
    <author>John Whitehead</author>
    <author>tc={6ABD322D-BBCD-4283-983C-321C38634B19}</author>
    <author>tc={91DA2CD0-1DAF-4D55-B94F-09EA28DDC865}</author>
    <author>tc={381BB892-DC53-4A9E-B980-CCBBBCE460C2}</author>
    <author>tc={D3AA3916-2969-4539-8151-E7D9AD5CB557}</author>
    <author>tc={93087070-1F28-4F04-A0A0-51EAE65AB72E}</author>
    <author>tc={87B23936-135B-4230-8AE1-4B5B6ED8A603}</author>
    <author>tc={F1D9A8F9-C22C-4F53-AAC2-5E89D2C6C006}</author>
    <author>tc={3289D8FC-E440-4D1D-929D-5626F393095D}</author>
    <author>tc={8BFEEE3D-6AA1-4211-B8F3-A8E898048C63}</author>
    <author>tc={512A0AC1-4038-4EC2-9793-994F72D28FDD}</author>
    <author>tc={ADFC6DD6-84D2-4E7A-8389-8C2BC84E7778}</author>
    <author>tc={8986FC17-92BA-422C-A005-B12EE0EA9418}</author>
  </authors>
  <commentList>
    <comment ref="G10" authorId="0" shapeId="0" xr:uid="{D1AF017F-12BA-4379-84C4-E0E87D42D8C4}">
      <text>
        <t>[Threaded comment]
Your version of Excel allows you to read this threaded comment; however, any edits to it will get removed if the file is opened in a newer version of Excel. Learn more: https://go.microsoft.com/fwlink/?linkid=870924
Comment:
    Reimbursement for broken keyboard</t>
      </text>
    </comment>
    <comment ref="M10" authorId="1" shapeId="0" xr:uid="{D5A66F89-BC03-4A7C-AC19-AB026460AA39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Wayleave</t>
        </r>
      </text>
    </comment>
    <comment ref="C11" authorId="1" shapeId="0" xr:uid="{C09D43C1-C8F5-4CD2-915F-04BED63043B7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MSDC grant (via Codd.Centre) for 3
 pinic benches)</t>
        </r>
      </text>
    </comment>
    <comment ref="G12" authorId="2" shapeId="0" xr:uid="{6ABD322D-BBCD-4283-983C-321C38634B19}">
      <text>
        <t>[Threaded comment]
Your version of Excel allows you to read this threaded comment; however, any edits to it will get removed if the file is opened in a newer version of Excel. Learn more: https://go.microsoft.com/fwlink/?linkid=870924
Comment:
    Re churchyard gates</t>
      </text>
    </comment>
    <comment ref="G18" authorId="3" shapeId="0" xr:uid="{91DA2CD0-1DAF-4D55-B94F-09EA28DDC865}">
      <text>
        <t>[Threaded comment]
Your version of Excel allows you to read this threaded comment; however, any edits to it will get removed if the file is opened in a newer version of Excel. Learn more: https://go.microsoft.com/fwlink/?linkid=870924
Comment:
    Salary minus training</t>
      </text>
    </comment>
    <comment ref="G19" authorId="4" shapeId="0" xr:uid="{381BB892-DC53-4A9E-B980-CCBBBCE460C2}">
      <text>
        <t>[Threaded comment]
Your version of Excel allows you to read this threaded comment; however, any edits to it will get removed if the file is opened in a newer version of Excel. Learn more: https://go.microsoft.com/fwlink/?linkid=870924
Comment:
    1.5 hours - Allotment training</t>
      </text>
    </comment>
    <comment ref="D23" authorId="5" shapeId="0" xr:uid="{D3AA3916-2969-4539-8151-E7D9AD5CB557}">
      <text>
        <t>[Threaded comment]
Your version of Excel allows you to read this threaded comment; however, any edits to it will get removed if the file is opened in a newer version of Excel. Learn more: https://go.microsoft.com/fwlink/?linkid=870924
Comment:
    £282.50 phone/£32.43 shredder &amp; paper/£6.66 phone case plus £120 cashback</t>
      </text>
    </comment>
    <comment ref="E23" authorId="6" shapeId="0" xr:uid="{93087070-1F28-4F04-A0A0-51EAE65AB72E}">
      <text>
        <t>[Threaded comment]
Your version of Excel allows you to read this threaded comment; however, any edits to it will get removed if the file is opened in a newer version of Excel. Learn more: https://go.microsoft.com/fwlink/?linkid=870924
Comment:
    Fast charger plug .  No VAT reclaimable</t>
      </text>
    </comment>
    <comment ref="D24" authorId="7" shapeId="0" xr:uid="{87B23936-135B-4230-8AE1-4B5B6ED8A603}">
      <text>
        <t>[Threaded comment]
Your version of Excel allows you to read this threaded comment; however, any edits to it will get removed if the file is opened in a newer version of Excel. Learn more: https://go.microsoft.com/fwlink/?linkid=870924
Comment:
    O2 £8.38/APM Refreshments £33/£8.61 stationery</t>
      </text>
    </comment>
    <comment ref="D28" authorId="8" shapeId="0" xr:uid="{F1D9A8F9-C22C-4F53-AAC2-5E89D2C6C006}">
      <text>
        <t>[Threaded comment]
Your version of Excel allows you to read this threaded comment; however, any edits to it will get removed if the file is opened in a newer version of Excel. Learn more: https://go.microsoft.com/fwlink/?linkid=870924
Comment:
    SALC &amp; SLCC</t>
      </text>
    </comment>
    <comment ref="G36" authorId="9" shapeId="0" xr:uid="{3289D8FC-E440-4D1D-929D-5626F393095D}">
      <text>
        <t>[Threaded comment]
Your version of Excel allows you to read this threaded comment; however, any edits to it will get removed if the file is opened in a newer version of Excel. Learn more: https://go.microsoft.com/fwlink/?linkid=870924
Comment:
    Summer Newsletter</t>
      </text>
    </comment>
    <comment ref="D38" authorId="10" shapeId="0" xr:uid="{8BFEEE3D-6AA1-4211-B8F3-A8E898048C6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£18.98 Stretcher plate &amp; hose clips/£53.51 metal posts
</t>
      </text>
    </comment>
    <comment ref="D41" authorId="11" shapeId="0" xr:uid="{512A0AC1-4038-4EC2-9793-994F72D28FDD}">
      <text>
        <t>[Threaded comment]
Your version of Excel allows you to read this threaded comment; however, any edits to it will get removed if the file is opened in a newer version of Excel. Learn more: https://go.microsoft.com/fwlink/?linkid=870924
Comment:
    SID batteries - £104.67 + £7.99 delivery</t>
      </text>
    </comment>
    <comment ref="E43" authorId="12" shapeId="0" xr:uid="{ADFC6DD6-84D2-4E7A-8389-8C2BC84E7778}">
      <text>
        <t>[Threaded comment]
Your version of Excel allows you to read this threaded comment; however, any edits to it will get removed if the file is opened in a newer version of Excel. Learn more: https://go.microsoft.com/fwlink/?linkid=870924
Comment:
    Plants</t>
      </text>
    </comment>
    <comment ref="E48" authorId="1" shapeId="0" xr:uid="{817FDC04-7C3E-4975-8EA3-90E0EBDEEEF7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Hudson Group - replacement sign Brrom Hill £180
</t>
        </r>
      </text>
    </comment>
    <comment ref="D49" authorId="1" shapeId="0" xr:uid="{E76EDE63-57A4-4081-82A9-BF3B729C5BEE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Ground fixing kit for litter bin
</t>
        </r>
      </text>
    </comment>
    <comment ref="E50" authorId="13" shapeId="0" xr:uid="{8986FC17-92BA-422C-A005-B12EE0EA941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Replacement water tap.  Allotment Reserve </t>
      </text>
    </comment>
    <comment ref="D52" authorId="1" shapeId="0" xr:uid="{CEA3F121-2BE3-42DE-911C-45B39880E4B1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MSDC Grant part payent of Low Carbon Products picnic benches)</t>
        </r>
      </text>
    </comment>
    <comment ref="C68" authorId="1" shapeId="0" xr:uid="{9E81F477-0E38-4518-B797-222C02B03A5C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Playequipment (TCC)
</t>
        </r>
      </text>
    </comment>
    <comment ref="D68" authorId="1" shapeId="0" xr:uid="{A094634F-1CE4-4094-A8CE-3B8A70536304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Balance of Picnic benches not covered by MSDC grant</t>
        </r>
      </text>
    </comment>
  </commentList>
</comments>
</file>

<file path=xl/sharedStrings.xml><?xml version="1.0" encoding="utf-8"?>
<sst xmlns="http://schemas.openxmlformats.org/spreadsheetml/2006/main" count="287" uniqueCount="230">
  <si>
    <t>Budget</t>
  </si>
  <si>
    <t>Variance</t>
  </si>
  <si>
    <t>April</t>
  </si>
  <si>
    <t>May</t>
  </si>
  <si>
    <t>June</t>
  </si>
  <si>
    <t>July</t>
  </si>
  <si>
    <t>August</t>
  </si>
  <si>
    <t>Sept</t>
  </si>
  <si>
    <t>Oct</t>
  </si>
  <si>
    <t>Nov</t>
  </si>
  <si>
    <t>Dec</t>
  </si>
  <si>
    <t>Jan</t>
  </si>
  <si>
    <t>Feb</t>
  </si>
  <si>
    <t>March</t>
  </si>
  <si>
    <t>to Budget</t>
  </si>
  <si>
    <t>INCOME</t>
  </si>
  <si>
    <t>Precept</t>
  </si>
  <si>
    <t>Interest</t>
  </si>
  <si>
    <t>Other income</t>
  </si>
  <si>
    <t>Allotment Rents</t>
  </si>
  <si>
    <t>TOTAL INCOME</t>
  </si>
  <si>
    <t>EXPENDITURE</t>
  </si>
  <si>
    <t>Insurance</t>
  </si>
  <si>
    <t>Subscriptions</t>
  </si>
  <si>
    <t>TOTAL EXPENDITURE</t>
  </si>
  <si>
    <t xml:space="preserve">VAT </t>
  </si>
  <si>
    <t>VAT on Expenditure</t>
  </si>
  <si>
    <t>VAT received (recovered from HMRC)</t>
  </si>
  <si>
    <t>Net VAT in month</t>
  </si>
  <si>
    <t>COMMUNITY INFRASTRUCTURE LEVY</t>
  </si>
  <si>
    <t>CIL Receipts</t>
  </si>
  <si>
    <t>CIL Expenditure</t>
  </si>
  <si>
    <t>Transfers to CIL Reserve</t>
  </si>
  <si>
    <t>Transfers from CIL Reserve</t>
  </si>
  <si>
    <t>CASHFLOW &amp; BANK RECONCILIATION</t>
  </si>
  <si>
    <t>Opening bank balance</t>
  </si>
  <si>
    <t>Income</t>
  </si>
  <si>
    <t>Expenditure</t>
  </si>
  <si>
    <t>Net VAT (outgoing)/received</t>
  </si>
  <si>
    <t>CIL Receipts - Expenditure</t>
  </si>
  <si>
    <t>Calculated Closing bank balance</t>
  </si>
  <si>
    <t>Closing bank statements</t>
  </si>
  <si>
    <t>Community Bank Account</t>
  </si>
  <si>
    <t>CIL Parish Reserve (BP A/C 1)</t>
  </si>
  <si>
    <t>MONTHLY RECONCILIATION DIFFERENCE</t>
  </si>
  <si>
    <t>CODDENHAM PARISH COUNCIL</t>
  </si>
  <si>
    <t>Audit fees</t>
  </si>
  <si>
    <t>Clerk's training</t>
  </si>
  <si>
    <t>Postage, telecoms, consumables</t>
  </si>
  <si>
    <t>Software licences</t>
  </si>
  <si>
    <t>s137 payments</t>
  </si>
  <si>
    <t>Bank charges</t>
  </si>
  <si>
    <t>Web fees</t>
  </si>
  <si>
    <t>Data protection</t>
  </si>
  <si>
    <t>Waste management</t>
  </si>
  <si>
    <t>Tree surgery</t>
  </si>
  <si>
    <t>Info box</t>
  </si>
  <si>
    <t>CIO/TCC contingency</t>
  </si>
  <si>
    <t>Hall rental</t>
  </si>
  <si>
    <t>Public Works Loan Board</t>
  </si>
  <si>
    <t>CIO/TCC Recreation Ground</t>
  </si>
  <si>
    <t>Difference?</t>
  </si>
  <si>
    <t>agreed to Monitoring Report</t>
  </si>
  <si>
    <t>Cumulative VAT to reclaim</t>
  </si>
  <si>
    <t>Allotment Expenditure</t>
  </si>
  <si>
    <t>MSDC Localities Grant</t>
  </si>
  <si>
    <t>MSDC Localities Grant expenditure</t>
  </si>
  <si>
    <t>STILL TO BE ALLOCATED (s/be ZERO)</t>
  </si>
  <si>
    <t>Street lighting running costs</t>
  </si>
  <si>
    <t xml:space="preserve">Opening </t>
  </si>
  <si>
    <t>Closing</t>
  </si>
  <si>
    <t>Apr</t>
  </si>
  <si>
    <t>Aug</t>
  </si>
  <si>
    <t>Mar</t>
  </si>
  <si>
    <t>Balance</t>
  </si>
  <si>
    <t>EARMARKED RESERVES</t>
  </si>
  <si>
    <t>Allotments</t>
  </si>
  <si>
    <t>Election Costs</t>
  </si>
  <si>
    <t>Green Spaces</t>
  </si>
  <si>
    <t>PWLB Loan</t>
  </si>
  <si>
    <t>Street Lighting</t>
  </si>
  <si>
    <t>Training (new Cllrs)</t>
  </si>
  <si>
    <t>CIL</t>
  </si>
  <si>
    <t>TOTAL- EARMARKED</t>
  </si>
  <si>
    <t>GENERAL RESERVE</t>
  </si>
  <si>
    <t>TOTAL RESERVES</t>
  </si>
  <si>
    <t>as per</t>
  </si>
  <si>
    <t>AGAR</t>
  </si>
  <si>
    <t>Gardemau Trust Grant</t>
  </si>
  <si>
    <t>Actual</t>
  </si>
  <si>
    <t>External Printing/Newsletters</t>
  </si>
  <si>
    <t>Cllr Training</t>
  </si>
  <si>
    <t>Clerk's salary - Employer NI</t>
  </si>
  <si>
    <t>Churchyard Maintenance</t>
  </si>
  <si>
    <t>SCC Grant expenditure</t>
  </si>
  <si>
    <t>MSDC Grants</t>
  </si>
  <si>
    <t>Date Rec'd</t>
  </si>
  <si>
    <t>From</t>
  </si>
  <si>
    <t>Amount</t>
  </si>
  <si>
    <t>Purpose</t>
  </si>
  <si>
    <t>oct</t>
  </si>
  <si>
    <t>Remaining</t>
  </si>
  <si>
    <t>Notes</t>
  </si>
  <si>
    <t>30.12.24</t>
  </si>
  <si>
    <t>MSDC-localities</t>
  </si>
  <si>
    <t xml:space="preserve">3Rs </t>
  </si>
  <si>
    <t>Hall hire/Printing/Byte</t>
  </si>
  <si>
    <t>24.03.25</t>
  </si>
  <si>
    <t>benches/litter sign</t>
  </si>
  <si>
    <t>Sign/benches ( wood)</t>
  </si>
  <si>
    <t>MSDC-Localities</t>
  </si>
  <si>
    <t>02.10.23</t>
  </si>
  <si>
    <t>MSDC- PIYP</t>
  </si>
  <si>
    <t>MSDC localities</t>
  </si>
  <si>
    <t>Gardemau</t>
  </si>
  <si>
    <t>MSDC-PIYP</t>
  </si>
  <si>
    <t>04.03.24</t>
  </si>
  <si>
    <t>21.10.24</t>
  </si>
  <si>
    <t>Adjust to</t>
  </si>
  <si>
    <t>Opening</t>
  </si>
  <si>
    <t>to date</t>
  </si>
  <si>
    <t>Spent</t>
  </si>
  <si>
    <t>MSDC Other Grants (PIYP)</t>
  </si>
  <si>
    <t>Grounds maintenance "Green Spaces"</t>
  </si>
  <si>
    <t>Year-end</t>
  </si>
  <si>
    <t>Surplus</t>
  </si>
  <si>
    <t>allocation</t>
  </si>
  <si>
    <t>Bal 1/4/26</t>
  </si>
  <si>
    <t>RESERVES MONITORING 2026-27</t>
  </si>
  <si>
    <t>VAT Expenditure in 2026-27</t>
  </si>
  <si>
    <t>April '26</t>
  </si>
  <si>
    <t>May '26</t>
  </si>
  <si>
    <t>June '26</t>
  </si>
  <si>
    <t>July '26</t>
  </si>
  <si>
    <t>August '26</t>
  </si>
  <si>
    <t>September '26</t>
  </si>
  <si>
    <t>October '26</t>
  </si>
  <si>
    <t>November '26</t>
  </si>
  <si>
    <t>December '26</t>
  </si>
  <si>
    <t>January '27</t>
  </si>
  <si>
    <t>February '27</t>
  </si>
  <si>
    <t>March '27</t>
  </si>
  <si>
    <t>GRANT RECEIPTS &amp; EXPENDITURE 26/27</t>
  </si>
  <si>
    <t>FINANCIAL MONITORING REPORT 2026/27</t>
  </si>
  <si>
    <t xml:space="preserve"> 26/27</t>
  </si>
  <si>
    <t xml:space="preserve"> YTD 26/27</t>
  </si>
  <si>
    <t>at 1/4/26</t>
  </si>
  <si>
    <t>at 30/4/26</t>
  </si>
  <si>
    <t>at 31/5/26</t>
  </si>
  <si>
    <t>at 30/6/26</t>
  </si>
  <si>
    <t>at 31/7/26</t>
  </si>
  <si>
    <t>at 31/8/26</t>
  </si>
  <si>
    <t>at 30/9/26</t>
  </si>
  <si>
    <t>at 31/10/26</t>
  </si>
  <si>
    <t>at 30/11/26</t>
  </si>
  <si>
    <t>at 31/12/26</t>
  </si>
  <si>
    <t>at 31/1/27</t>
  </si>
  <si>
    <t>at 28/2/27</t>
  </si>
  <si>
    <t>at 31/3/27</t>
  </si>
  <si>
    <t>Legal fees</t>
  </si>
  <si>
    <t>Defibillator Maintenance</t>
  </si>
  <si>
    <t>b/f from 25/26</t>
  </si>
  <si>
    <t>Clerk's Office Equipment</t>
  </si>
  <si>
    <t>Suffolk County Council</t>
  </si>
  <si>
    <t>Glasdon</t>
  </si>
  <si>
    <t>John Lewis Partnership</t>
  </si>
  <si>
    <t>Amazon UK</t>
  </si>
  <si>
    <t>O2</t>
  </si>
  <si>
    <t>Street Furniture Maintenenace (incl. SID)</t>
  </si>
  <si>
    <t>INVOICE DATE</t>
  </si>
  <si>
    <t>VAT NUMBER</t>
  </si>
  <si>
    <t>DETAILS</t>
  </si>
  <si>
    <t>12.03.26</t>
  </si>
  <si>
    <t>104 1787 91</t>
  </si>
  <si>
    <t>20.03.26</t>
  </si>
  <si>
    <t>5461 1 97006/1</t>
  </si>
  <si>
    <t>Cnon Printer/Scanner</t>
  </si>
  <si>
    <t>17.03.26</t>
  </si>
  <si>
    <t>727 2558 21</t>
  </si>
  <si>
    <t>Wet Rot Wood Hardener</t>
  </si>
  <si>
    <t>155 8470 44</t>
  </si>
  <si>
    <t>???</t>
  </si>
  <si>
    <t>18.04.26</t>
  </si>
  <si>
    <t>386 4146 72</t>
  </si>
  <si>
    <t>Telecomms</t>
  </si>
  <si>
    <t>Start Safety</t>
  </si>
  <si>
    <t>16.04.26</t>
  </si>
  <si>
    <t>970 77793 74</t>
  </si>
  <si>
    <t>Metal Posts</t>
  </si>
  <si>
    <t>Screwfix</t>
  </si>
  <si>
    <t>232 5555 75</t>
  </si>
  <si>
    <t>Stretcher plates/Hose Clips</t>
  </si>
  <si>
    <t>Automotion FactorsLtd</t>
  </si>
  <si>
    <t>24.04.26</t>
  </si>
  <si>
    <t>171 3581 15</t>
  </si>
  <si>
    <t>Batteries</t>
  </si>
  <si>
    <t>Amazon</t>
  </si>
  <si>
    <t>26.04.26</t>
  </si>
  <si>
    <t>Samsung A26 phone</t>
  </si>
  <si>
    <t>SALC Audit</t>
  </si>
  <si>
    <t>28.04.26</t>
  </si>
  <si>
    <t>825 0232 65</t>
  </si>
  <si>
    <t>Audit Fee</t>
  </si>
  <si>
    <t>Shredder/Paper/Phone Case</t>
  </si>
  <si>
    <t>17.06.26</t>
  </si>
  <si>
    <t>Clerk's salary (general duties)</t>
  </si>
  <si>
    <t>Clerk's salary (training)</t>
  </si>
  <si>
    <t>Clerk's salary (FOI requests)</t>
  </si>
  <si>
    <t>10.07.26</t>
  </si>
  <si>
    <t>Stationery/Keyboard/Mouse</t>
  </si>
  <si>
    <t>20.07.26</t>
  </si>
  <si>
    <t>SALC Training</t>
  </si>
  <si>
    <t>02.07.26</t>
  </si>
  <si>
    <t>Allotment Training</t>
  </si>
  <si>
    <t>Wright Consulting</t>
  </si>
  <si>
    <t>07.07.26</t>
  </si>
  <si>
    <t>210 8435 41</t>
  </si>
  <si>
    <t>MSDC</t>
  </si>
  <si>
    <t>17.07.26</t>
  </si>
  <si>
    <t>104 1694 01</t>
  </si>
  <si>
    <t>Waste Mgt</t>
  </si>
  <si>
    <t>Defib Supplies</t>
  </si>
  <si>
    <t>30.07.26</t>
  </si>
  <si>
    <t>707 2721 50</t>
  </si>
  <si>
    <t>2x defib pads</t>
  </si>
  <si>
    <t>24.08.26</t>
  </si>
  <si>
    <t>MSDC - PIYP</t>
  </si>
  <si>
    <t>Churchyard gates</t>
  </si>
  <si>
    <t>19.08.26</t>
  </si>
  <si>
    <t>Churchyard Gates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</si>
</sst>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£&quot;#,##0.00;[Red]\-&quot;£&quot;#,##0.00"/>
    <numFmt numFmtId="43" formatCode="_-* #,##0.00_-;\-* #,##0.00_-;_-* &quot;-&quot;??_-;_-@_-"/>
    <numFmt numFmtId="164" formatCode="#,##0;\(#,##0\)"/>
    <numFmt numFmtId="165" formatCode="_-* #,##0_-;\-* #,##0_-;_-* &quot;-&quot;??_-;_-@_-"/>
    <numFmt numFmtId="166" formatCode="#,##0.00;\(#,##0.00\)"/>
    <numFmt numFmtId="167" formatCode="&quot;£&quot;#,##0.00"/>
    <numFmt numFmtId="168" formatCode="&quot;£&quot;#,##0_);[Red]\(&quot;£&quot;#,##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212121"/>
      <name val="Arial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164" fontId="0" fillId="0" borderId="3" xfId="0" applyNumberFormat="1" applyBorder="1"/>
    <xf numFmtId="165" fontId="0" fillId="0" borderId="0" xfId="1" applyNumberFormat="1" applyFont="1"/>
    <xf numFmtId="165" fontId="0" fillId="0" borderId="1" xfId="1" applyNumberFormat="1" applyFont="1" applyBorder="1"/>
    <xf numFmtId="164" fontId="0" fillId="0" borderId="3" xfId="1" applyNumberFormat="1" applyFont="1" applyBorder="1"/>
    <xf numFmtId="165" fontId="3" fillId="0" borderId="0" xfId="1" applyNumberFormat="1" applyFont="1"/>
    <xf numFmtId="43" fontId="1" fillId="0" borderId="1" xfId="1" applyFont="1" applyFill="1" applyBorder="1"/>
    <xf numFmtId="43" fontId="7" fillId="0" borderId="0" xfId="1" applyFont="1"/>
    <xf numFmtId="43" fontId="1" fillId="0" borderId="0" xfId="1" applyFont="1"/>
    <xf numFmtId="43" fontId="0" fillId="0" borderId="0" xfId="1" applyFont="1"/>
    <xf numFmtId="43" fontId="0" fillId="0" borderId="2" xfId="1" applyFont="1" applyBorder="1"/>
    <xf numFmtId="43" fontId="0" fillId="0" borderId="1" xfId="1" applyFont="1" applyBorder="1"/>
    <xf numFmtId="43" fontId="0" fillId="0" borderId="0" xfId="1" applyFont="1" applyFill="1"/>
    <xf numFmtId="0" fontId="3" fillId="0" borderId="0" xfId="0" applyFont="1"/>
    <xf numFmtId="165" fontId="3" fillId="0" borderId="4" xfId="1" applyNumberFormat="1" applyFont="1" applyBorder="1"/>
    <xf numFmtId="43" fontId="0" fillId="0" borderId="4" xfId="1" applyFont="1" applyBorder="1"/>
    <xf numFmtId="165" fontId="0" fillId="0" borderId="4" xfId="1" applyNumberFormat="1" applyFont="1" applyBorder="1"/>
    <xf numFmtId="43" fontId="8" fillId="0" borderId="0" xfId="1" applyFont="1"/>
    <xf numFmtId="43" fontId="8" fillId="0" borderId="1" xfId="1" applyFont="1" applyBorder="1"/>
    <xf numFmtId="43" fontId="8" fillId="0" borderId="0" xfId="1" applyFont="1" applyBorder="1"/>
    <xf numFmtId="0" fontId="2" fillId="0" borderId="0" xfId="0" applyFont="1"/>
    <xf numFmtId="0" fontId="0" fillId="0" borderId="0" xfId="0" applyAlignment="1">
      <alignment horizontal="right"/>
    </xf>
    <xf numFmtId="165" fontId="3" fillId="0" borderId="5" xfId="1" applyNumberFormat="1" applyFont="1" applyBorder="1"/>
    <xf numFmtId="43" fontId="0" fillId="0" borderId="6" xfId="1" applyFont="1" applyBorder="1"/>
    <xf numFmtId="43" fontId="0" fillId="0" borderId="0" xfId="1" applyFont="1" applyBorder="1"/>
    <xf numFmtId="43" fontId="0" fillId="0" borderId="0" xfId="0" applyNumberFormat="1"/>
    <xf numFmtId="43" fontId="5" fillId="0" borderId="0" xfId="0" applyNumberFormat="1" applyFont="1"/>
    <xf numFmtId="43" fontId="0" fillId="0" borderId="8" xfId="1" applyFont="1" applyBorder="1"/>
    <xf numFmtId="43" fontId="1" fillId="0" borderId="1" xfId="1" applyFont="1" applyBorder="1"/>
    <xf numFmtId="166" fontId="0" fillId="0" borderId="0" xfId="0" applyNumberFormat="1"/>
    <xf numFmtId="166" fontId="0" fillId="0" borderId="0" xfId="1" applyNumberFormat="1" applyFont="1"/>
    <xf numFmtId="43" fontId="3" fillId="0" borderId="9" xfId="1" applyFont="1" applyBorder="1"/>
    <xf numFmtId="0" fontId="9" fillId="0" borderId="0" xfId="0" applyFont="1"/>
    <xf numFmtId="0" fontId="0" fillId="0" borderId="0" xfId="0" quotePrefix="1" applyAlignment="1">
      <alignment horizontal="center"/>
    </xf>
    <xf numFmtId="43" fontId="3" fillId="0" borderId="0" xfId="1" applyFont="1"/>
    <xf numFmtId="43" fontId="0" fillId="0" borderId="9" xfId="0" applyNumberFormat="1" applyBorder="1"/>
    <xf numFmtId="43" fontId="0" fillId="0" borderId="9" xfId="1" applyFont="1" applyBorder="1"/>
    <xf numFmtId="0" fontId="0" fillId="0" borderId="9" xfId="0" applyBorder="1"/>
    <xf numFmtId="0" fontId="0" fillId="0" borderId="3" xfId="0" applyBorder="1" applyAlignment="1">
      <alignment horizontal="center"/>
    </xf>
    <xf numFmtId="165" fontId="3" fillId="0" borderId="0" xfId="1" applyNumberFormat="1" applyFont="1" applyFill="1"/>
    <xf numFmtId="43" fontId="0" fillId="0" borderId="1" xfId="1" applyFont="1" applyFill="1" applyBorder="1"/>
    <xf numFmtId="0" fontId="12" fillId="0" borderId="0" xfId="0" applyFont="1"/>
    <xf numFmtId="166" fontId="0" fillId="0" borderId="9" xfId="0" applyNumberFormat="1" applyBorder="1"/>
    <xf numFmtId="166" fontId="0" fillId="0" borderId="12" xfId="0" applyNumberFormat="1" applyBorder="1"/>
    <xf numFmtId="43" fontId="13" fillId="0" borderId="0" xfId="1" applyFont="1"/>
    <xf numFmtId="43" fontId="14" fillId="0" borderId="0" xfId="1" applyFont="1"/>
    <xf numFmtId="43" fontId="14" fillId="0" borderId="0" xfId="1" applyFont="1" applyFill="1"/>
    <xf numFmtId="43" fontId="14" fillId="0" borderId="0" xfId="1" applyFont="1" applyBorder="1"/>
    <xf numFmtId="43" fontId="8" fillId="0" borderId="0" xfId="1" applyFont="1" applyFill="1"/>
    <xf numFmtId="165" fontId="1" fillId="0" borderId="0" xfId="1" applyNumberFormat="1" applyFont="1"/>
    <xf numFmtId="0" fontId="2" fillId="0" borderId="2" xfId="0" applyFont="1" applyBorder="1"/>
    <xf numFmtId="165" fontId="2" fillId="0" borderId="2" xfId="1" applyNumberFormat="1" applyFont="1" applyBorder="1"/>
    <xf numFmtId="43" fontId="5" fillId="0" borderId="2" xfId="1" applyFont="1" applyBorder="1"/>
    <xf numFmtId="43" fontId="5" fillId="0" borderId="2" xfId="1" applyFont="1" applyFill="1" applyBorder="1"/>
    <xf numFmtId="43" fontId="3" fillId="0" borderId="0" xfId="1" applyFont="1" applyBorder="1"/>
    <xf numFmtId="43" fontId="3" fillId="0" borderId="0" xfId="1" applyFont="1" applyFill="1"/>
    <xf numFmtId="43" fontId="8" fillId="0" borderId="2" xfId="1" applyFont="1" applyBorder="1"/>
    <xf numFmtId="43" fontId="1" fillId="0" borderId="2" xfId="1" applyFont="1" applyBorder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43" fontId="0" fillId="0" borderId="0" xfId="1" applyFont="1" applyAlignment="1">
      <alignment horizontal="right"/>
    </xf>
    <xf numFmtId="43" fontId="0" fillId="0" borderId="3" xfId="1" applyFont="1" applyBorder="1"/>
    <xf numFmtId="43" fontId="0" fillId="0" borderId="7" xfId="1" applyFont="1" applyBorder="1"/>
    <xf numFmtId="43" fontId="0" fillId="0" borderId="0" xfId="1" applyFont="1" applyBorder="1" applyAlignment="1">
      <alignment horizontal="right"/>
    </xf>
    <xf numFmtId="166" fontId="0" fillId="0" borderId="3" xfId="1" applyNumberFormat="1" applyFont="1" applyBorder="1"/>
    <xf numFmtId="0" fontId="0" fillId="2" borderId="0" xfId="0" applyFill="1"/>
    <xf numFmtId="0" fontId="15" fillId="2" borderId="0" xfId="0" applyFont="1" applyFill="1"/>
    <xf numFmtId="0" fontId="16" fillId="2" borderId="0" xfId="0" applyFont="1" applyFill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6" fillId="0" borderId="0" xfId="0" applyFont="1"/>
    <xf numFmtId="167" fontId="16" fillId="0" borderId="0" xfId="0" applyNumberFormat="1" applyFont="1"/>
    <xf numFmtId="166" fontId="0" fillId="3" borderId="0" xfId="0" applyNumberFormat="1" applyFill="1"/>
    <xf numFmtId="0" fontId="15" fillId="0" borderId="0" xfId="0" applyFont="1"/>
    <xf numFmtId="0" fontId="17" fillId="0" borderId="0" xfId="0" applyFont="1"/>
    <xf numFmtId="0" fontId="2" fillId="0" borderId="0" xfId="0" applyFont="1" applyAlignment="1">
      <alignment wrapText="1"/>
    </xf>
    <xf numFmtId="168" fontId="16" fillId="0" borderId="0" xfId="0" applyNumberFormat="1" applyFont="1"/>
    <xf numFmtId="14" fontId="16" fillId="0" borderId="0" xfId="0" applyNumberFormat="1" applyFont="1"/>
    <xf numFmtId="168" fontId="0" fillId="0" borderId="0" xfId="0" applyNumberFormat="1"/>
    <xf numFmtId="14" fontId="0" fillId="0" borderId="0" xfId="0" applyNumberFormat="1"/>
    <xf numFmtId="167" fontId="16" fillId="0" borderId="11" xfId="0" applyNumberFormat="1" applyFont="1" applyBorder="1"/>
    <xf numFmtId="166" fontId="0" fillId="3" borderId="0" xfId="0" applyNumberFormat="1" applyFill="1" applyAlignment="1">
      <alignment wrapText="1"/>
    </xf>
    <xf numFmtId="166" fontId="3" fillId="3" borderId="0" xfId="0" applyNumberFormat="1" applyFont="1" applyFill="1"/>
    <xf numFmtId="166" fontId="16" fillId="0" borderId="11" xfId="0" applyNumberFormat="1" applyFont="1" applyBorder="1"/>
    <xf numFmtId="166" fontId="0" fillId="0" borderId="11" xfId="0" applyNumberFormat="1" applyBorder="1"/>
    <xf numFmtId="43" fontId="3" fillId="0" borderId="2" xfId="1" applyFont="1" applyBorder="1"/>
    <xf numFmtId="43" fontId="1" fillId="0" borderId="13" xfId="1" applyFont="1" applyBorder="1" applyAlignment="1">
      <alignment horizontal="right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center"/>
    </xf>
    <xf numFmtId="0" fontId="2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21" fillId="0" borderId="0" xfId="0" quotePrefix="1" applyFont="1"/>
    <xf numFmtId="0" fontId="19" fillId="0" borderId="0" xfId="0" quotePrefix="1" applyFont="1"/>
    <xf numFmtId="43" fontId="19" fillId="0" borderId="0" xfId="1" applyFont="1"/>
    <xf numFmtId="43" fontId="19" fillId="0" borderId="0" xfId="0" applyNumberFormat="1" applyFont="1"/>
    <xf numFmtId="43" fontId="19" fillId="0" borderId="9" xfId="1" applyFont="1" applyBorder="1"/>
    <xf numFmtId="2" fontId="19" fillId="0" borderId="0" xfId="0" applyNumberFormat="1" applyFont="1"/>
    <xf numFmtId="0" fontId="19" fillId="0" borderId="0" xfId="0" applyFont="1" applyAlignment="1">
      <alignment vertical="top" wrapText="1"/>
    </xf>
    <xf numFmtId="8" fontId="19" fillId="0" borderId="0" xfId="0" applyNumberFormat="1" applyFont="1"/>
    <xf numFmtId="0" fontId="19" fillId="0" borderId="0" xfId="0" applyFont="1" applyAlignment="1">
      <alignment vertical="top"/>
    </xf>
    <xf numFmtId="43" fontId="19" fillId="0" borderId="0" xfId="1" applyFont="1" applyBorder="1"/>
    <xf numFmtId="43" fontId="19" fillId="0" borderId="11" xfId="1" applyFont="1" applyBorder="1"/>
    <xf numFmtId="2" fontId="20" fillId="0" borderId="0" xfId="1" applyNumberFormat="1" applyFont="1"/>
    <xf numFmtId="2" fontId="19" fillId="0" borderId="9" xfId="0" applyNumberFormat="1" applyFont="1" applyBorder="1"/>
    <xf numFmtId="2" fontId="19" fillId="0" borderId="0" xfId="1" applyNumberFormat="1" applyFont="1"/>
    <xf numFmtId="2" fontId="19" fillId="0" borderId="10" xfId="0" applyNumberFormat="1" applyFont="1" applyBorder="1"/>
    <xf numFmtId="2" fontId="19" fillId="0" borderId="10" xfId="1" applyNumberFormat="1" applyFont="1" applyBorder="1"/>
    <xf numFmtId="2" fontId="19" fillId="0" borderId="0" xfId="1" applyNumberFormat="1" applyFont="1" applyAlignment="1">
      <alignment vertical="top" wrapText="1"/>
    </xf>
    <xf numFmtId="2" fontId="19" fillId="0" borderId="0" xfId="1" applyNumberFormat="1" applyFont="1" applyAlignment="1">
      <alignment vertical="top"/>
    </xf>
    <xf numFmtId="2" fontId="19" fillId="0" borderId="0" xfId="1" applyNumberFormat="1" applyFont="1" applyBorder="1"/>
    <xf numFmtId="2" fontId="19" fillId="0" borderId="0" xfId="0" applyNumberFormat="1" applyFont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c3c9615714693b5/Desktop/Clerk%20-%20General/Monthly%20Budget%20Reports/2026-27/CPC%20-%20Monthly%20Finance%20Report%20-%20May%2026%20-%20v2%20mlb.xlsx" TargetMode="External"/><Relationship Id="rId1" Type="http://schemas.openxmlformats.org/officeDocument/2006/relationships/externalLinkPath" Target="CPC%20-%20Monthly%20Finance%20Report%20-%20May%2026%20-%20v2%20ml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monitoring &amp; reconcilia"/>
      <sheetName val="Reserves"/>
      <sheetName val="GRANT MOVEMENTS"/>
      <sheetName val="VAT"/>
    </sheetNames>
    <sheetDataSet>
      <sheetData sheetId="0">
        <row r="58">
          <cell r="C58">
            <v>107.71000000000001</v>
          </cell>
          <cell r="D58">
            <v>159.07</v>
          </cell>
        </row>
      </sheetData>
      <sheetData sheetId="1" refreshError="1"/>
      <sheetData sheetId="2" refreshError="1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ggie Burt" id="{A324EF9A-A717-4D9F-BACA-49FF6DDA9181}" userId="3c3c9615714693b5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0" dT="2026-09-02T10:30:20.85" personId="{A324EF9A-A717-4D9F-BACA-49FF6DDA9181}" id="{D1AF017F-12BA-4379-84C4-E0E87D42D8C4}">
    <text>Reimbursement for broken keyboard</text>
  </threadedComment>
  <threadedComment ref="G12" dT="2026-09-02T10:16:46.27" personId="{A324EF9A-A717-4D9F-BACA-49FF6DDA9181}" id="{6ABD322D-BBCD-4283-983C-321C38634B19}">
    <text>Re churchyard gates</text>
  </threadedComment>
  <threadedComment ref="G18" dT="2026-09-02T10:16:12.77" personId="{A324EF9A-A717-4D9F-BACA-49FF6DDA9181}" id="{91DA2CD0-1DAF-4D55-B94F-09EA28DDC865}">
    <text>Salary minus training</text>
  </threadedComment>
  <threadedComment ref="G19" dT="2026-09-02T10:15:39.80" personId="{A324EF9A-A717-4D9F-BACA-49FF6DDA9181}" id="{381BB892-DC53-4A9E-B980-CCBBBCE460C2}">
    <text>1.5 hours - Allotment training</text>
  </threadedComment>
  <threadedComment ref="D23" dT="2026-06-23T08:59:02.75" personId="{A324EF9A-A717-4D9F-BACA-49FF6DDA9181}" id="{D3AA3916-2969-4539-8151-E7D9AD5CB557}">
    <text>£282.50 phone/£32.43 shredder &amp; paper/£6.66 phone case plus £120 cashback</text>
  </threadedComment>
  <threadedComment ref="E23" dT="2026-07-01T10:08:00.63" personId="{A324EF9A-A717-4D9F-BACA-49FF6DDA9181}" id="{93087070-1F28-4F04-A0A0-51EAE65AB72E}">
    <text>Fast charger plug .  No VAT reclaimable</text>
  </threadedComment>
  <threadedComment ref="D24" dT="2026-06-23T08:59:33.44" personId="{A324EF9A-A717-4D9F-BACA-49FF6DDA9181}" id="{87B23936-135B-4230-8AE1-4B5B6ED8A603}">
    <text>O2 £8.38/APM Refreshments £33/£8.61 stationery</text>
  </threadedComment>
  <threadedComment ref="D28" dT="2026-06-23T08:59:56.42" personId="{A324EF9A-A717-4D9F-BACA-49FF6DDA9181}" id="{F1D9A8F9-C22C-4F53-AAC2-5E89D2C6C006}">
    <text>SALC &amp; SLCC</text>
  </threadedComment>
  <threadedComment ref="G36" dT="2026-09-02T09:52:11.05" personId="{A324EF9A-A717-4D9F-BACA-49FF6DDA9181}" id="{3289D8FC-E440-4D1D-929D-5626F393095D}">
    <text>Summer Newsletter</text>
  </threadedComment>
  <threadedComment ref="D38" dT="2026-06-23T09:01:47.00" personId="{A324EF9A-A717-4D9F-BACA-49FF6DDA9181}" id="{8BFEEE3D-6AA1-4211-B8F3-A8E898048C63}">
    <text xml:space="preserve">£18.98 Stretcher plate &amp; hose clips/£53.51 metal posts
</text>
  </threadedComment>
  <threadedComment ref="D41" dT="2026-06-23T09:02:15.22" personId="{A324EF9A-A717-4D9F-BACA-49FF6DDA9181}" id="{512A0AC1-4038-4EC2-9793-994F72D28FDD}">
    <text>SID batteries - £104.67 + £7.99 delivery</text>
  </threadedComment>
  <threadedComment ref="E43" dT="2026-07-01T10:10:40.16" personId="{A324EF9A-A717-4D9F-BACA-49FF6DDA9181}" id="{ADFC6DD6-84D2-4E7A-8389-8C2BC84E7778}">
    <text>Plants</text>
  </threadedComment>
  <threadedComment ref="E50" dT="2026-07-01T10:10:08.85" personId="{A324EF9A-A717-4D9F-BACA-49FF6DDA9181}" id="{8986FC17-92BA-422C-A005-B12EE0EA9418}">
    <text xml:space="preserve">Replacement water tap.  Allotment Reserve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B4828-637D-432C-BD24-895099ECF6FB}">
  <sheetPr>
    <pageSetUpPr fitToPage="1"/>
  </sheetPr>
  <dimension ref="A1:T87"/>
  <sheetViews>
    <sheetView zoomScale="150" zoomScaleNormal="150" workbookViewId="0">
      <selection activeCell="G53" sqref="G53"/>
    </sheetView>
  </sheetViews>
  <sheetFormatPr defaultRowHeight="15" x14ac:dyDescent="0.25"/>
  <cols>
    <col min="1" max="1" width="37.42578125" customWidth="1"/>
    <col min="2" max="2" width="14.42578125" customWidth="1"/>
    <col min="3" max="3" width="12.7109375" customWidth="1"/>
    <col min="4" max="4" width="12.28515625" customWidth="1"/>
    <col min="5" max="5" width="12.85546875" customWidth="1"/>
    <col min="6" max="6" width="12.7109375" customWidth="1"/>
    <col min="7" max="7" width="13.140625" customWidth="1"/>
    <col min="8" max="8" width="12.28515625" hidden="1" customWidth="1"/>
    <col min="9" max="9" width="13.7109375" hidden="1" customWidth="1"/>
    <col min="10" max="10" width="12.85546875" hidden="1" customWidth="1"/>
    <col min="11" max="11" width="13.42578125" hidden="1" customWidth="1"/>
    <col min="12" max="12" width="13.7109375" hidden="1" customWidth="1"/>
    <col min="13" max="13" width="12" hidden="1" customWidth="1"/>
    <col min="14" max="14" width="12.28515625" hidden="1" customWidth="1"/>
    <col min="15" max="16" width="12.140625" customWidth="1"/>
    <col min="17" max="17" width="11.28515625" bestFit="1" customWidth="1"/>
    <col min="18" max="18" width="10.140625" bestFit="1" customWidth="1"/>
    <col min="19" max="19" width="11.5703125" customWidth="1"/>
    <col min="20" max="20" width="14.28515625" customWidth="1"/>
  </cols>
  <sheetData>
    <row r="1" spans="1:18" ht="23.25" x14ac:dyDescent="0.35">
      <c r="A1" s="1" t="s">
        <v>45</v>
      </c>
      <c r="J1" s="2"/>
    </row>
    <row r="2" spans="1:18" ht="23.25" x14ac:dyDescent="0.35">
      <c r="A2" s="1" t="s">
        <v>143</v>
      </c>
    </row>
    <row r="3" spans="1:18" x14ac:dyDescent="0.25">
      <c r="B3" t="s">
        <v>0</v>
      </c>
      <c r="C3" s="3"/>
      <c r="N3" s="4"/>
      <c r="O3" s="7" t="s">
        <v>89</v>
      </c>
      <c r="P3" s="48" t="s">
        <v>1</v>
      </c>
    </row>
    <row r="4" spans="1:18" x14ac:dyDescent="0.25">
      <c r="B4" t="s">
        <v>144</v>
      </c>
      <c r="C4" s="6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8" t="s">
        <v>13</v>
      </c>
      <c r="O4" s="7" t="s">
        <v>145</v>
      </c>
      <c r="P4" s="48" t="s">
        <v>14</v>
      </c>
    </row>
    <row r="5" spans="1:18" x14ac:dyDescent="0.25">
      <c r="C5" s="3"/>
      <c r="N5" s="9"/>
      <c r="P5" s="5"/>
      <c r="R5" s="2"/>
    </row>
    <row r="6" spans="1:18" x14ac:dyDescent="0.25">
      <c r="A6" s="10" t="s">
        <v>15</v>
      </c>
      <c r="C6" s="3"/>
      <c r="N6" s="60"/>
      <c r="P6" s="11"/>
      <c r="R6" s="2"/>
    </row>
    <row r="7" spans="1:18" x14ac:dyDescent="0.25">
      <c r="B7" s="12"/>
      <c r="C7" s="13"/>
      <c r="D7" s="12"/>
      <c r="E7" s="12"/>
      <c r="F7" s="12"/>
      <c r="G7" s="12"/>
      <c r="H7" s="12"/>
      <c r="I7" s="12"/>
      <c r="J7" s="59"/>
      <c r="K7" s="12"/>
      <c r="L7" s="12"/>
      <c r="M7" s="12"/>
      <c r="N7" s="61"/>
      <c r="O7" s="12"/>
      <c r="P7" s="14"/>
      <c r="R7" s="2"/>
    </row>
    <row r="8" spans="1:18" x14ac:dyDescent="0.25">
      <c r="A8" t="s">
        <v>16</v>
      </c>
      <c r="B8" s="15">
        <v>37035</v>
      </c>
      <c r="C8" s="16">
        <v>18517.5</v>
      </c>
      <c r="D8" s="17"/>
      <c r="E8" s="17"/>
      <c r="F8" s="17"/>
      <c r="G8" s="17"/>
      <c r="H8" s="18"/>
      <c r="I8" s="54"/>
      <c r="J8" s="27"/>
      <c r="K8" s="55"/>
      <c r="L8" s="44"/>
      <c r="M8" s="44"/>
      <c r="N8" s="62"/>
      <c r="O8" s="19">
        <f t="shared" ref="O8:O13" si="0">SUM(C8:N8)</f>
        <v>18517.5</v>
      </c>
      <c r="P8" s="72">
        <f t="shared" ref="P8:P14" si="1">B8-O8</f>
        <v>18517.5</v>
      </c>
    </row>
    <row r="9" spans="1:18" x14ac:dyDescent="0.25">
      <c r="A9" t="s">
        <v>17</v>
      </c>
      <c r="B9" s="15">
        <v>500</v>
      </c>
      <c r="C9" s="21"/>
      <c r="D9" s="19"/>
      <c r="E9" s="19">
        <v>138.41999999999999</v>
      </c>
      <c r="F9" s="19"/>
      <c r="G9" s="19"/>
      <c r="H9" s="19"/>
      <c r="I9" s="55"/>
      <c r="J9" s="27"/>
      <c r="K9" s="55"/>
      <c r="L9" s="44"/>
      <c r="M9" s="44"/>
      <c r="N9" s="66"/>
      <c r="O9" s="19">
        <f t="shared" si="0"/>
        <v>138.41999999999999</v>
      </c>
      <c r="P9" s="72">
        <f t="shared" si="1"/>
        <v>361.58000000000004</v>
      </c>
      <c r="R9" s="35"/>
    </row>
    <row r="10" spans="1:18" x14ac:dyDescent="0.25">
      <c r="A10" t="s">
        <v>18</v>
      </c>
      <c r="B10" s="15">
        <v>12</v>
      </c>
      <c r="C10" s="21"/>
      <c r="D10" s="19"/>
      <c r="E10" s="19"/>
      <c r="F10" s="19"/>
      <c r="G10" s="19">
        <v>27.98</v>
      </c>
      <c r="H10" s="19"/>
      <c r="I10" s="56"/>
      <c r="J10" s="27"/>
      <c r="K10" s="55"/>
      <c r="L10" s="44"/>
      <c r="M10" s="44"/>
      <c r="N10" s="62"/>
      <c r="O10" s="19">
        <f t="shared" si="0"/>
        <v>27.98</v>
      </c>
      <c r="P10" s="75">
        <f t="shared" si="1"/>
        <v>-15.98</v>
      </c>
      <c r="R10" s="35"/>
    </row>
    <row r="11" spans="1:18" x14ac:dyDescent="0.25">
      <c r="A11" t="s">
        <v>65</v>
      </c>
      <c r="B11" s="15"/>
      <c r="C11" s="21"/>
      <c r="D11" s="19"/>
      <c r="E11" s="19"/>
      <c r="F11" s="19"/>
      <c r="G11" s="19"/>
      <c r="H11" s="19"/>
      <c r="I11" s="56"/>
      <c r="J11" s="27"/>
      <c r="K11" s="56"/>
      <c r="L11" s="44"/>
      <c r="M11" s="44"/>
      <c r="N11" s="62"/>
      <c r="O11" s="19">
        <f t="shared" si="0"/>
        <v>0</v>
      </c>
      <c r="P11" s="72">
        <f t="shared" si="1"/>
        <v>0</v>
      </c>
    </row>
    <row r="12" spans="1:18" x14ac:dyDescent="0.25">
      <c r="A12" t="s">
        <v>122</v>
      </c>
      <c r="B12" s="15"/>
      <c r="C12" s="21"/>
      <c r="D12" s="19"/>
      <c r="E12" s="19"/>
      <c r="F12" s="19"/>
      <c r="G12" s="19">
        <v>5000</v>
      </c>
      <c r="H12" s="19"/>
      <c r="I12" s="56"/>
      <c r="J12" s="27"/>
      <c r="K12" s="56"/>
      <c r="L12" s="44"/>
      <c r="M12" s="44"/>
      <c r="N12" s="62"/>
      <c r="O12" s="19">
        <f t="shared" si="0"/>
        <v>5000</v>
      </c>
      <c r="P12" s="72">
        <f t="shared" si="1"/>
        <v>-5000</v>
      </c>
    </row>
    <row r="13" spans="1:18" x14ac:dyDescent="0.25">
      <c r="A13" t="s">
        <v>88</v>
      </c>
      <c r="B13" s="15"/>
      <c r="C13" s="21"/>
      <c r="D13" s="19"/>
      <c r="E13" s="19"/>
      <c r="F13" s="19"/>
      <c r="G13" s="19"/>
      <c r="H13" s="19"/>
      <c r="I13" s="58"/>
      <c r="J13" s="27"/>
      <c r="K13" s="55"/>
      <c r="L13" s="44"/>
      <c r="M13" s="44"/>
      <c r="N13" s="62"/>
      <c r="O13" s="19">
        <f t="shared" si="0"/>
        <v>0</v>
      </c>
      <c r="P13" s="72">
        <f t="shared" si="1"/>
        <v>0</v>
      </c>
      <c r="R13" s="35"/>
    </row>
    <row r="14" spans="1:18" x14ac:dyDescent="0.25">
      <c r="A14" t="s">
        <v>19</v>
      </c>
      <c r="B14" s="15"/>
      <c r="C14" s="21">
        <f>-5-7.5+15</f>
        <v>2.5</v>
      </c>
      <c r="D14" s="19"/>
      <c r="E14" s="19"/>
      <c r="F14" s="19"/>
      <c r="G14" s="19"/>
      <c r="H14" s="19"/>
      <c r="I14" s="56"/>
      <c r="J14" s="27"/>
      <c r="K14" s="55"/>
      <c r="L14" s="44"/>
      <c r="M14" s="44"/>
      <c r="N14" s="66"/>
      <c r="O14" s="19">
        <f t="shared" ref="O14" si="2">SUM(C14:N14)</f>
        <v>2.5</v>
      </c>
      <c r="P14" s="72">
        <f t="shared" si="1"/>
        <v>-2.5</v>
      </c>
    </row>
    <row r="15" spans="1:18" x14ac:dyDescent="0.25">
      <c r="A15" s="23" t="s">
        <v>20</v>
      </c>
      <c r="B15" s="24">
        <f t="shared" ref="B15:P15" si="3">SUM(B7:B14)</f>
        <v>37547</v>
      </c>
      <c r="C15" s="25">
        <f t="shared" si="3"/>
        <v>18520</v>
      </c>
      <c r="D15" s="25">
        <f t="shared" si="3"/>
        <v>0</v>
      </c>
      <c r="E15" s="25">
        <f t="shared" si="3"/>
        <v>138.41999999999999</v>
      </c>
      <c r="F15" s="25">
        <f t="shared" si="3"/>
        <v>0</v>
      </c>
      <c r="G15" s="25">
        <f t="shared" si="3"/>
        <v>5027.9799999999996</v>
      </c>
      <c r="H15" s="25">
        <f t="shared" si="3"/>
        <v>0</v>
      </c>
      <c r="I15" s="25">
        <f t="shared" si="3"/>
        <v>0</v>
      </c>
      <c r="J15" s="25">
        <f t="shared" si="3"/>
        <v>0</v>
      </c>
      <c r="K15" s="25">
        <f t="shared" si="3"/>
        <v>0</v>
      </c>
      <c r="L15" s="25">
        <f t="shared" si="3"/>
        <v>0</v>
      </c>
      <c r="M15" s="25">
        <f t="shared" si="3"/>
        <v>0</v>
      </c>
      <c r="N15" s="25">
        <f t="shared" si="3"/>
        <v>0</v>
      </c>
      <c r="O15" s="25">
        <f t="shared" si="3"/>
        <v>23686.399999999998</v>
      </c>
      <c r="P15" s="25">
        <f t="shared" si="3"/>
        <v>13860.600000000002</v>
      </c>
      <c r="Q15" s="68"/>
      <c r="R15" s="35"/>
    </row>
    <row r="16" spans="1:18" x14ac:dyDescent="0.25">
      <c r="B16" s="12"/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  <c r="O16" s="19"/>
      <c r="P16" s="72"/>
    </row>
    <row r="17" spans="1:20" x14ac:dyDescent="0.25">
      <c r="A17" s="10" t="s">
        <v>21</v>
      </c>
      <c r="B17" s="12"/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  <c r="O17" s="19"/>
      <c r="P17" s="72"/>
    </row>
    <row r="18" spans="1:20" x14ac:dyDescent="0.25">
      <c r="A18" t="s">
        <v>205</v>
      </c>
      <c r="B18" s="15">
        <v>7530</v>
      </c>
      <c r="C18" s="21">
        <f>582.16+398.6</f>
        <v>980.76</v>
      </c>
      <c r="D18" s="19">
        <v>503.68</v>
      </c>
      <c r="E18" s="19">
        <v>549.5</v>
      </c>
      <c r="F18" s="19">
        <f>556.07+125.8+137.2+138.8</f>
        <v>957.86999999999989</v>
      </c>
      <c r="G18" s="19">
        <f>614.85-24.53</f>
        <v>590.32000000000005</v>
      </c>
      <c r="H18" s="19"/>
      <c r="I18" s="27"/>
      <c r="J18" s="27"/>
      <c r="K18" s="55"/>
      <c r="L18" s="44"/>
      <c r="M18" s="44"/>
      <c r="N18" s="44"/>
      <c r="O18" s="19">
        <f>SUM(C18:N18)</f>
        <v>3582.13</v>
      </c>
      <c r="P18" s="75">
        <f>B18-O18</f>
        <v>3947.87</v>
      </c>
      <c r="R18" s="35"/>
      <c r="T18" s="19"/>
    </row>
    <row r="19" spans="1:20" x14ac:dyDescent="0.25">
      <c r="A19" t="s">
        <v>206</v>
      </c>
      <c r="B19" s="15"/>
      <c r="C19" s="21"/>
      <c r="D19" s="19"/>
      <c r="E19" s="19"/>
      <c r="F19" s="19"/>
      <c r="G19" s="19">
        <v>24.53</v>
      </c>
      <c r="H19" s="19"/>
      <c r="I19" s="27"/>
      <c r="J19" s="27"/>
      <c r="K19" s="55"/>
      <c r="L19" s="44"/>
      <c r="M19" s="44"/>
      <c r="N19" s="18"/>
      <c r="O19" s="19">
        <f>SUM(C19:N19)</f>
        <v>24.53</v>
      </c>
      <c r="P19" s="75">
        <f t="shared" ref="P19:P52" si="4">B19-O19</f>
        <v>-24.53</v>
      </c>
      <c r="R19" s="35"/>
      <c r="T19" s="19"/>
    </row>
    <row r="20" spans="1:20" x14ac:dyDescent="0.25">
      <c r="A20" t="s">
        <v>207</v>
      </c>
      <c r="B20" s="15">
        <v>200</v>
      </c>
      <c r="C20" s="21"/>
      <c r="D20" s="19"/>
      <c r="E20" s="19"/>
      <c r="F20" s="19"/>
      <c r="G20" s="19"/>
      <c r="H20" s="19"/>
      <c r="I20" s="27"/>
      <c r="J20" s="27"/>
      <c r="K20" s="55"/>
      <c r="L20" s="44"/>
      <c r="M20" s="44"/>
      <c r="N20" s="18"/>
      <c r="O20" s="19">
        <f>SUM(C20:N20)</f>
        <v>0</v>
      </c>
      <c r="P20" s="75">
        <f t="shared" si="4"/>
        <v>200</v>
      </c>
      <c r="R20" s="35"/>
      <c r="T20" s="19"/>
    </row>
    <row r="21" spans="1:20" x14ac:dyDescent="0.25">
      <c r="A21" t="s">
        <v>92</v>
      </c>
      <c r="B21" s="15">
        <f>380+30</f>
        <v>410</v>
      </c>
      <c r="C21" s="21">
        <f>111.56</f>
        <v>111.56</v>
      </c>
      <c r="D21" s="19"/>
      <c r="E21" s="19"/>
      <c r="F21" s="19">
        <f>31.87+40.45+41.68</f>
        <v>114</v>
      </c>
      <c r="G21" s="19"/>
      <c r="H21" s="19"/>
      <c r="I21" s="27"/>
      <c r="J21" s="27"/>
      <c r="K21" s="55"/>
      <c r="L21" s="44"/>
      <c r="M21" s="44"/>
      <c r="N21" s="18"/>
      <c r="O21" s="19">
        <f>SUM(C21:N21)</f>
        <v>225.56</v>
      </c>
      <c r="P21" s="75">
        <f t="shared" si="4"/>
        <v>184.44</v>
      </c>
      <c r="R21" s="35"/>
      <c r="T21" s="19"/>
    </row>
    <row r="22" spans="1:20" x14ac:dyDescent="0.25">
      <c r="A22" t="s">
        <v>47</v>
      </c>
      <c r="B22" s="15">
        <v>100</v>
      </c>
      <c r="C22" s="21"/>
      <c r="D22" s="19"/>
      <c r="E22" s="27"/>
      <c r="F22" s="19"/>
      <c r="G22" s="19">
        <v>36</v>
      </c>
      <c r="H22" s="19"/>
      <c r="I22" s="27"/>
      <c r="J22" s="27"/>
      <c r="K22" s="55"/>
      <c r="L22" s="44"/>
      <c r="M22" s="44"/>
      <c r="N22" s="62"/>
      <c r="O22" s="19">
        <f t="shared" ref="O22:O42" si="5">SUM(C22:N22)</f>
        <v>36</v>
      </c>
      <c r="P22" s="75">
        <f t="shared" si="4"/>
        <v>64</v>
      </c>
      <c r="R22" s="35"/>
      <c r="T22" s="19"/>
    </row>
    <row r="23" spans="1:20" x14ac:dyDescent="0.25">
      <c r="A23" t="s">
        <v>162</v>
      </c>
      <c r="B23" s="15">
        <v>0</v>
      </c>
      <c r="C23" s="21">
        <v>279.56</v>
      </c>
      <c r="D23" s="19">
        <f>-120+282.5+23.82+6.66</f>
        <v>192.98</v>
      </c>
      <c r="E23" s="27">
        <v>11.98</v>
      </c>
      <c r="F23" s="19">
        <f>23.32+8.32+17.71</f>
        <v>49.35</v>
      </c>
      <c r="G23" s="19"/>
      <c r="H23" s="19"/>
      <c r="I23" s="27"/>
      <c r="J23" s="27"/>
      <c r="K23" s="55"/>
      <c r="L23" s="44"/>
      <c r="M23" s="44"/>
      <c r="N23" s="62"/>
      <c r="O23" s="19">
        <f t="shared" si="5"/>
        <v>533.87</v>
      </c>
      <c r="P23" s="75">
        <f t="shared" si="4"/>
        <v>-533.87</v>
      </c>
      <c r="R23" s="35"/>
      <c r="T23" s="19"/>
    </row>
    <row r="24" spans="1:20" x14ac:dyDescent="0.25">
      <c r="A24" t="s">
        <v>48</v>
      </c>
      <c r="B24" s="15">
        <v>416</v>
      </c>
      <c r="C24" s="28">
        <v>8.3800000000000008</v>
      </c>
      <c r="D24" s="29">
        <f>8.38+33+8.61</f>
        <v>49.99</v>
      </c>
      <c r="E24" s="29">
        <v>8.3800000000000008</v>
      </c>
      <c r="F24" s="29">
        <v>8.3800000000000008</v>
      </c>
      <c r="G24" s="29">
        <v>8.3800000000000008</v>
      </c>
      <c r="H24" s="29"/>
      <c r="I24" s="29"/>
      <c r="J24" s="29"/>
      <c r="K24" s="57"/>
      <c r="L24" s="64"/>
      <c r="M24" s="64"/>
      <c r="N24" s="96"/>
      <c r="O24" s="19">
        <f t="shared" si="5"/>
        <v>83.509999999999991</v>
      </c>
      <c r="P24" s="75">
        <f t="shared" si="4"/>
        <v>332.49</v>
      </c>
      <c r="R24" s="30"/>
      <c r="S24" s="35"/>
      <c r="T24" s="28"/>
    </row>
    <row r="25" spans="1:20" x14ac:dyDescent="0.25">
      <c r="A25" t="s">
        <v>91</v>
      </c>
      <c r="B25" s="15"/>
      <c r="C25" s="21"/>
      <c r="D25" s="19"/>
      <c r="E25" s="19"/>
      <c r="F25" s="19"/>
      <c r="G25" s="19"/>
      <c r="H25" s="19"/>
      <c r="I25" s="27"/>
      <c r="J25" s="27"/>
      <c r="K25" s="55"/>
      <c r="L25" s="44"/>
      <c r="M25" s="44"/>
      <c r="N25" s="62"/>
      <c r="O25" s="19">
        <f t="shared" si="5"/>
        <v>0</v>
      </c>
      <c r="P25" s="75">
        <f t="shared" si="4"/>
        <v>0</v>
      </c>
      <c r="R25" s="35"/>
      <c r="T25" s="19"/>
    </row>
    <row r="26" spans="1:20" x14ac:dyDescent="0.25">
      <c r="A26" t="s">
        <v>58</v>
      </c>
      <c r="B26" s="15">
        <v>120</v>
      </c>
      <c r="C26" s="21"/>
      <c r="D26" s="19"/>
      <c r="E26" s="19"/>
      <c r="F26" s="19"/>
      <c r="G26" s="19"/>
      <c r="H26" s="19"/>
      <c r="I26" s="27"/>
      <c r="J26" s="27"/>
      <c r="K26" s="55"/>
      <c r="L26" s="44"/>
      <c r="M26" s="44"/>
      <c r="N26" s="62"/>
      <c r="O26" s="19">
        <f t="shared" si="5"/>
        <v>0</v>
      </c>
      <c r="P26" s="75">
        <f t="shared" si="4"/>
        <v>120</v>
      </c>
      <c r="R26" s="35"/>
      <c r="T26" s="19"/>
    </row>
    <row r="27" spans="1:20" x14ac:dyDescent="0.25">
      <c r="A27" t="s">
        <v>49</v>
      </c>
      <c r="B27" s="15">
        <v>220</v>
      </c>
      <c r="C27" s="21">
        <v>149.97999999999999</v>
      </c>
      <c r="D27" s="19">
        <v>104.99</v>
      </c>
      <c r="E27" s="19"/>
      <c r="F27" s="19"/>
      <c r="G27" s="19"/>
      <c r="H27" s="19"/>
      <c r="I27" s="27"/>
      <c r="J27" s="27"/>
      <c r="K27" s="55"/>
      <c r="L27" s="44"/>
      <c r="M27" s="44"/>
      <c r="N27" s="62"/>
      <c r="O27" s="19">
        <f t="shared" si="5"/>
        <v>254.96999999999997</v>
      </c>
      <c r="P27" s="75">
        <f t="shared" si="4"/>
        <v>-34.96999999999997</v>
      </c>
      <c r="R27" s="35"/>
      <c r="T27" s="19"/>
    </row>
    <row r="28" spans="1:20" x14ac:dyDescent="0.25">
      <c r="A28" t="s">
        <v>23</v>
      </c>
      <c r="B28" s="15">
        <v>468</v>
      </c>
      <c r="C28" s="21">
        <v>-34.99</v>
      </c>
      <c r="D28" s="19">
        <v>438.74</v>
      </c>
      <c r="E28" s="19"/>
      <c r="F28" s="19"/>
      <c r="G28" s="19"/>
      <c r="H28" s="19"/>
      <c r="I28" s="27"/>
      <c r="J28" s="27"/>
      <c r="K28" s="55"/>
      <c r="L28" s="44"/>
      <c r="M28" s="44"/>
      <c r="N28" s="62"/>
      <c r="O28" s="19">
        <f t="shared" si="5"/>
        <v>403.75</v>
      </c>
      <c r="P28" s="75">
        <f t="shared" si="4"/>
        <v>64.25</v>
      </c>
      <c r="S28" s="35"/>
      <c r="T28" s="19"/>
    </row>
    <row r="29" spans="1:20" x14ac:dyDescent="0.25">
      <c r="A29" t="s">
        <v>46</v>
      </c>
      <c r="B29" s="15">
        <v>625</v>
      </c>
      <c r="C29" s="21"/>
      <c r="D29" s="19">
        <v>290</v>
      </c>
      <c r="E29" s="19"/>
      <c r="F29" s="19"/>
      <c r="G29" s="19"/>
      <c r="H29" s="19"/>
      <c r="I29" s="27"/>
      <c r="J29" s="27"/>
      <c r="K29" s="55"/>
      <c r="L29" s="44"/>
      <c r="M29" s="44"/>
      <c r="N29" s="62"/>
      <c r="O29" s="19">
        <f t="shared" si="5"/>
        <v>290</v>
      </c>
      <c r="P29" s="75">
        <f t="shared" si="4"/>
        <v>335</v>
      </c>
      <c r="R29" s="35"/>
      <c r="T29" s="19"/>
    </row>
    <row r="30" spans="1:20" x14ac:dyDescent="0.25">
      <c r="A30" t="s">
        <v>159</v>
      </c>
      <c r="B30" s="15">
        <v>1000</v>
      </c>
      <c r="C30" s="21"/>
      <c r="D30" s="19"/>
      <c r="E30" s="19"/>
      <c r="F30" s="19"/>
      <c r="G30" s="19"/>
      <c r="H30" s="19"/>
      <c r="I30" s="27"/>
      <c r="J30" s="27"/>
      <c r="K30" s="55"/>
      <c r="L30" s="44"/>
      <c r="M30" s="44"/>
      <c r="N30" s="62"/>
      <c r="O30" s="19">
        <f t="shared" si="5"/>
        <v>0</v>
      </c>
      <c r="P30" s="75">
        <f t="shared" si="4"/>
        <v>1000</v>
      </c>
      <c r="R30" s="35"/>
      <c r="T30" s="19"/>
    </row>
    <row r="31" spans="1:20" x14ac:dyDescent="0.25">
      <c r="A31" t="s">
        <v>22</v>
      </c>
      <c r="B31" s="15">
        <v>480</v>
      </c>
      <c r="C31" s="21"/>
      <c r="D31" s="19"/>
      <c r="E31" s="19"/>
      <c r="F31" s="19"/>
      <c r="G31" s="19"/>
      <c r="H31" s="19"/>
      <c r="I31" s="27"/>
      <c r="J31" s="27"/>
      <c r="K31" s="55"/>
      <c r="L31" s="44"/>
      <c r="M31" s="44"/>
      <c r="N31" s="62"/>
      <c r="O31" s="19">
        <f t="shared" si="5"/>
        <v>0</v>
      </c>
      <c r="P31" s="75">
        <f t="shared" si="4"/>
        <v>480</v>
      </c>
      <c r="R31" s="35"/>
      <c r="T31" s="19"/>
    </row>
    <row r="32" spans="1:20" x14ac:dyDescent="0.25">
      <c r="A32" t="s">
        <v>50</v>
      </c>
      <c r="B32" s="15">
        <v>200</v>
      </c>
      <c r="C32" s="21"/>
      <c r="D32" s="19"/>
      <c r="E32" s="19"/>
      <c r="F32" s="19"/>
      <c r="G32" s="19"/>
      <c r="H32" s="19"/>
      <c r="I32" s="27"/>
      <c r="J32" s="27"/>
      <c r="K32" s="56"/>
      <c r="L32" s="44"/>
      <c r="M32" s="44"/>
      <c r="N32" s="62"/>
      <c r="O32" s="19">
        <f t="shared" si="5"/>
        <v>0</v>
      </c>
      <c r="P32" s="75">
        <f t="shared" si="4"/>
        <v>200</v>
      </c>
      <c r="R32" s="35"/>
      <c r="T32" s="19"/>
    </row>
    <row r="33" spans="1:20" x14ac:dyDescent="0.25">
      <c r="A33" t="s">
        <v>51</v>
      </c>
      <c r="B33" s="15">
        <v>102</v>
      </c>
      <c r="C33" s="21">
        <f>3+7</f>
        <v>10</v>
      </c>
      <c r="D33" s="19">
        <f>7+3</f>
        <v>10</v>
      </c>
      <c r="E33" s="19">
        <f>3+7</f>
        <v>10</v>
      </c>
      <c r="F33" s="19">
        <f>7+3</f>
        <v>10</v>
      </c>
      <c r="G33" s="19">
        <f>7+3</f>
        <v>10</v>
      </c>
      <c r="H33" s="19"/>
      <c r="I33" s="27"/>
      <c r="J33" s="27"/>
      <c r="K33" s="55"/>
      <c r="L33" s="44"/>
      <c r="M33" s="44"/>
      <c r="N33" s="96"/>
      <c r="O33" s="19">
        <f t="shared" si="5"/>
        <v>50</v>
      </c>
      <c r="P33" s="75">
        <f t="shared" si="4"/>
        <v>52</v>
      </c>
      <c r="S33" s="35"/>
      <c r="T33" s="19"/>
    </row>
    <row r="34" spans="1:20" x14ac:dyDescent="0.25">
      <c r="A34" t="s">
        <v>160</v>
      </c>
      <c r="B34" s="15">
        <v>120</v>
      </c>
      <c r="C34" s="21"/>
      <c r="D34" s="19"/>
      <c r="E34" s="19"/>
      <c r="F34" s="19"/>
      <c r="G34" s="19">
        <v>124</v>
      </c>
      <c r="H34" s="19"/>
      <c r="I34" s="27"/>
      <c r="J34" s="27"/>
      <c r="K34" s="55"/>
      <c r="L34" s="44"/>
      <c r="M34" s="44"/>
      <c r="N34" s="96"/>
      <c r="O34" s="19">
        <f t="shared" si="5"/>
        <v>124</v>
      </c>
      <c r="P34" s="75">
        <f t="shared" si="4"/>
        <v>-4</v>
      </c>
      <c r="S34" s="35"/>
      <c r="T34" s="19"/>
    </row>
    <row r="35" spans="1:20" x14ac:dyDescent="0.25">
      <c r="A35" t="s">
        <v>52</v>
      </c>
      <c r="B35" s="15">
        <v>210</v>
      </c>
      <c r="C35" s="21"/>
      <c r="D35" s="19"/>
      <c r="E35" s="19"/>
      <c r="F35" s="19"/>
      <c r="G35" s="19"/>
      <c r="H35" s="19"/>
      <c r="I35" s="27"/>
      <c r="J35" s="27"/>
      <c r="K35" s="55"/>
      <c r="L35" s="44"/>
      <c r="M35" s="44"/>
      <c r="N35" s="62"/>
      <c r="O35" s="19">
        <f t="shared" si="5"/>
        <v>0</v>
      </c>
      <c r="P35" s="75">
        <f t="shared" si="4"/>
        <v>210</v>
      </c>
      <c r="S35" s="35"/>
      <c r="T35" s="19"/>
    </row>
    <row r="36" spans="1:20" x14ac:dyDescent="0.25">
      <c r="A36" t="s">
        <v>90</v>
      </c>
      <c r="B36" s="15">
        <v>520</v>
      </c>
      <c r="C36" s="21"/>
      <c r="D36" s="19"/>
      <c r="E36" s="19"/>
      <c r="F36" s="19"/>
      <c r="G36" s="19">
        <v>115.9</v>
      </c>
      <c r="H36" s="19"/>
      <c r="I36" s="27"/>
      <c r="J36" s="58"/>
      <c r="K36" s="55"/>
      <c r="L36" s="44"/>
      <c r="M36" s="44"/>
      <c r="N36" s="62"/>
      <c r="O36" s="19">
        <f t="shared" si="5"/>
        <v>115.9</v>
      </c>
      <c r="P36" s="75">
        <f t="shared" si="4"/>
        <v>404.1</v>
      </c>
      <c r="S36" s="35"/>
      <c r="T36" s="19"/>
    </row>
    <row r="37" spans="1:20" x14ac:dyDescent="0.25">
      <c r="A37" t="s">
        <v>53</v>
      </c>
      <c r="B37" s="15">
        <v>54</v>
      </c>
      <c r="C37" s="21">
        <v>47</v>
      </c>
      <c r="D37" s="27"/>
      <c r="E37" s="19"/>
      <c r="F37" s="19"/>
      <c r="G37" s="19"/>
      <c r="H37" s="19"/>
      <c r="I37" s="27"/>
      <c r="J37" s="27"/>
      <c r="K37" s="55"/>
      <c r="L37" s="44"/>
      <c r="M37" s="44"/>
      <c r="N37" s="62"/>
      <c r="O37" s="19">
        <f t="shared" si="5"/>
        <v>47</v>
      </c>
      <c r="P37" s="75">
        <f t="shared" si="4"/>
        <v>7</v>
      </c>
      <c r="R37" s="30"/>
      <c r="T37" s="19"/>
    </row>
    <row r="38" spans="1:20" x14ac:dyDescent="0.25">
      <c r="A38" t="s">
        <v>123</v>
      </c>
      <c r="B38" s="15">
        <v>2200</v>
      </c>
      <c r="C38" s="21">
        <v>-8.6999999999999993</v>
      </c>
      <c r="D38" s="19">
        <f>18.98+53.51</f>
        <v>72.489999999999995</v>
      </c>
      <c r="E38" s="19"/>
      <c r="F38" s="19"/>
      <c r="G38" s="19">
        <v>11</v>
      </c>
      <c r="H38" s="19"/>
      <c r="I38" s="27"/>
      <c r="J38" s="27"/>
      <c r="K38" s="55"/>
      <c r="L38" s="44"/>
      <c r="M38" s="44"/>
      <c r="N38" s="96"/>
      <c r="O38" s="19">
        <f t="shared" si="5"/>
        <v>74.789999999999992</v>
      </c>
      <c r="P38" s="75">
        <f t="shared" si="4"/>
        <v>2125.21</v>
      </c>
      <c r="S38" s="35"/>
      <c r="T38" s="19"/>
    </row>
    <row r="39" spans="1:20" x14ac:dyDescent="0.25">
      <c r="A39" t="s">
        <v>54</v>
      </c>
      <c r="B39" s="15">
        <v>550</v>
      </c>
      <c r="C39" s="21"/>
      <c r="D39" s="19"/>
      <c r="E39" s="19"/>
      <c r="F39" s="19"/>
      <c r="G39" s="19">
        <v>515</v>
      </c>
      <c r="H39" s="19"/>
      <c r="I39" s="27"/>
      <c r="J39" s="27"/>
      <c r="K39" s="55"/>
      <c r="L39" s="44"/>
      <c r="M39" s="44"/>
      <c r="N39" s="62"/>
      <c r="O39" s="19">
        <f t="shared" si="5"/>
        <v>515</v>
      </c>
      <c r="P39" s="75">
        <f t="shared" si="4"/>
        <v>35</v>
      </c>
      <c r="R39" s="35"/>
      <c r="T39" s="19"/>
    </row>
    <row r="40" spans="1:20" x14ac:dyDescent="0.25">
      <c r="A40" t="s">
        <v>68</v>
      </c>
      <c r="B40" s="15">
        <v>270</v>
      </c>
      <c r="C40" s="21">
        <v>243.33</v>
      </c>
      <c r="D40" s="19"/>
      <c r="E40" s="19"/>
      <c r="F40" s="19"/>
      <c r="G40" s="19"/>
      <c r="H40" s="19"/>
      <c r="I40" s="27"/>
      <c r="J40" s="27"/>
      <c r="K40" s="55"/>
      <c r="L40" s="44"/>
      <c r="M40" s="44"/>
      <c r="N40" s="62"/>
      <c r="O40" s="19">
        <f t="shared" si="5"/>
        <v>243.33</v>
      </c>
      <c r="P40" s="75">
        <f t="shared" si="4"/>
        <v>26.669999999999987</v>
      </c>
      <c r="R40" s="35"/>
      <c r="T40" s="19"/>
    </row>
    <row r="41" spans="1:20" x14ac:dyDescent="0.25">
      <c r="A41" t="s">
        <v>168</v>
      </c>
      <c r="B41" s="15"/>
      <c r="C41" s="21"/>
      <c r="D41" s="19">
        <f>104.67+7.99</f>
        <v>112.66</v>
      </c>
      <c r="E41" s="19"/>
      <c r="F41" s="19"/>
      <c r="G41" s="19"/>
      <c r="H41" s="19"/>
      <c r="I41" s="27"/>
      <c r="J41" s="27"/>
      <c r="K41" s="55"/>
      <c r="L41" s="44"/>
      <c r="M41" s="44"/>
      <c r="N41" s="62"/>
      <c r="O41" s="19"/>
      <c r="P41" s="75"/>
      <c r="R41" s="35"/>
      <c r="T41" s="19"/>
    </row>
    <row r="42" spans="1:20" x14ac:dyDescent="0.25">
      <c r="A42" t="s">
        <v>55</v>
      </c>
      <c r="B42" s="15">
        <v>1700</v>
      </c>
      <c r="C42" s="21"/>
      <c r="D42" s="19"/>
      <c r="E42" s="19"/>
      <c r="F42" s="19"/>
      <c r="G42" s="19"/>
      <c r="H42" s="19"/>
      <c r="I42" s="27"/>
      <c r="J42" s="27"/>
      <c r="K42" s="55"/>
      <c r="L42" s="44"/>
      <c r="M42" s="44"/>
      <c r="N42" s="67"/>
      <c r="O42" s="19">
        <f t="shared" si="5"/>
        <v>0</v>
      </c>
      <c r="P42" s="75">
        <f t="shared" si="4"/>
        <v>1700</v>
      </c>
      <c r="R42" s="35"/>
      <c r="T42" s="19"/>
    </row>
    <row r="43" spans="1:20" x14ac:dyDescent="0.25">
      <c r="A43" t="s">
        <v>56</v>
      </c>
      <c r="B43" s="15">
        <v>50</v>
      </c>
      <c r="C43" s="21"/>
      <c r="D43" s="19"/>
      <c r="E43" s="19">
        <v>5.94</v>
      </c>
      <c r="F43" s="19"/>
      <c r="G43" s="19"/>
      <c r="H43" s="19"/>
      <c r="I43" s="27"/>
      <c r="J43" s="27"/>
      <c r="K43" s="55"/>
      <c r="L43" s="44"/>
      <c r="M43" s="44"/>
      <c r="N43" s="62"/>
      <c r="O43" s="19">
        <f t="shared" ref="O43:O52" si="6">SUM(C43:N43)</f>
        <v>5.94</v>
      </c>
      <c r="P43" s="75">
        <f t="shared" si="4"/>
        <v>44.06</v>
      </c>
      <c r="R43" s="35"/>
      <c r="T43" s="19"/>
    </row>
    <row r="44" spans="1:20" hidden="1" x14ac:dyDescent="0.25">
      <c r="A44" t="s">
        <v>67</v>
      </c>
      <c r="B44" s="49"/>
      <c r="C44" s="50"/>
      <c r="D44" s="22"/>
      <c r="E44" s="22"/>
      <c r="F44" s="22"/>
      <c r="G44" s="22"/>
      <c r="H44" s="22"/>
      <c r="I44" s="58"/>
      <c r="J44" s="58"/>
      <c r="K44" s="56"/>
      <c r="L44" s="65"/>
      <c r="M44" s="65"/>
      <c r="N44" s="63"/>
      <c r="O44" s="22">
        <f t="shared" si="6"/>
        <v>0</v>
      </c>
      <c r="P44" s="75">
        <f t="shared" si="4"/>
        <v>0</v>
      </c>
      <c r="T44" s="22"/>
    </row>
    <row r="45" spans="1:20" x14ac:dyDescent="0.25">
      <c r="A45" t="s">
        <v>57</v>
      </c>
      <c r="B45" s="15">
        <v>350</v>
      </c>
      <c r="C45" s="21"/>
      <c r="D45" s="19"/>
      <c r="E45" s="19"/>
      <c r="F45" s="19"/>
      <c r="G45" s="19"/>
      <c r="H45" s="19"/>
      <c r="I45" s="27"/>
      <c r="J45" s="27"/>
      <c r="K45" s="55"/>
      <c r="L45" s="44"/>
      <c r="M45" s="44"/>
      <c r="N45" s="62"/>
      <c r="O45" s="19">
        <f t="shared" si="6"/>
        <v>0</v>
      </c>
      <c r="P45" s="75">
        <f t="shared" si="4"/>
        <v>350</v>
      </c>
      <c r="R45" s="35"/>
      <c r="T45" s="19"/>
    </row>
    <row r="46" spans="1:20" x14ac:dyDescent="0.25">
      <c r="A46" t="s">
        <v>60</v>
      </c>
      <c r="B46" s="15">
        <v>4400</v>
      </c>
      <c r="C46" s="21">
        <v>4400</v>
      </c>
      <c r="D46" s="19"/>
      <c r="E46" s="19"/>
      <c r="F46" s="19"/>
      <c r="G46" s="19"/>
      <c r="H46" s="19"/>
      <c r="I46" s="27"/>
      <c r="J46" s="27"/>
      <c r="K46" s="55"/>
      <c r="L46" s="44"/>
      <c r="M46" s="44"/>
      <c r="N46" s="62"/>
      <c r="O46" s="19">
        <f t="shared" si="6"/>
        <v>4400</v>
      </c>
      <c r="P46" s="75">
        <f t="shared" si="4"/>
        <v>0</v>
      </c>
      <c r="T46" s="19"/>
    </row>
    <row r="47" spans="1:20" x14ac:dyDescent="0.25">
      <c r="A47" t="s">
        <v>59</v>
      </c>
      <c r="B47" s="15">
        <v>13152</v>
      </c>
      <c r="C47" s="21"/>
      <c r="D47" s="19"/>
      <c r="E47" s="19">
        <v>6575.92</v>
      </c>
      <c r="F47" s="19"/>
      <c r="G47" s="19"/>
      <c r="H47" s="19"/>
      <c r="I47" s="27"/>
      <c r="J47" s="27"/>
      <c r="K47" s="55"/>
      <c r="L47" s="44"/>
      <c r="M47" s="44"/>
      <c r="N47" s="62"/>
      <c r="O47" s="19">
        <f t="shared" si="6"/>
        <v>6575.92</v>
      </c>
      <c r="P47" s="75">
        <f t="shared" si="4"/>
        <v>6576.08</v>
      </c>
      <c r="R47" s="35"/>
      <c r="T47" s="19"/>
    </row>
    <row r="48" spans="1:20" x14ac:dyDescent="0.25">
      <c r="A48" t="s">
        <v>93</v>
      </c>
      <c r="B48" s="15">
        <v>2000</v>
      </c>
      <c r="C48" s="21"/>
      <c r="D48" s="19"/>
      <c r="E48" s="19"/>
      <c r="F48" s="19"/>
      <c r="G48" s="19">
        <v>842.17</v>
      </c>
      <c r="H48" s="19"/>
      <c r="I48" s="27"/>
      <c r="J48" s="27"/>
      <c r="K48" s="55"/>
      <c r="L48" s="44"/>
      <c r="M48" s="44"/>
      <c r="N48" s="62"/>
      <c r="O48" s="19">
        <f t="shared" si="6"/>
        <v>842.17</v>
      </c>
      <c r="P48" s="75">
        <f t="shared" si="4"/>
        <v>1157.83</v>
      </c>
      <c r="T48" s="19"/>
    </row>
    <row r="49" spans="1:20" x14ac:dyDescent="0.25">
      <c r="A49" t="s">
        <v>77</v>
      </c>
      <c r="B49" s="15">
        <v>100</v>
      </c>
      <c r="C49" s="21"/>
      <c r="D49" s="19"/>
      <c r="E49" s="19"/>
      <c r="F49" s="19"/>
      <c r="G49" s="19"/>
      <c r="H49" s="19"/>
      <c r="I49" s="27"/>
      <c r="J49" s="27"/>
      <c r="K49" s="55"/>
      <c r="L49" s="44"/>
      <c r="M49" s="44"/>
      <c r="N49" s="62"/>
      <c r="O49" s="19">
        <f t="shared" si="6"/>
        <v>0</v>
      </c>
      <c r="P49" s="75">
        <f t="shared" si="4"/>
        <v>100</v>
      </c>
      <c r="T49" s="19"/>
    </row>
    <row r="50" spans="1:20" x14ac:dyDescent="0.25">
      <c r="A50" t="s">
        <v>64</v>
      </c>
      <c r="B50" s="15"/>
      <c r="C50" s="21"/>
      <c r="D50" s="19"/>
      <c r="E50" s="19">
        <v>6.75</v>
      </c>
      <c r="F50" s="19"/>
      <c r="G50" s="19"/>
      <c r="H50" s="19"/>
      <c r="I50" s="27"/>
      <c r="J50" s="27"/>
      <c r="K50" s="55"/>
      <c r="L50" s="44"/>
      <c r="M50" s="44"/>
      <c r="N50" s="62"/>
      <c r="O50" s="19">
        <f t="shared" si="6"/>
        <v>6.75</v>
      </c>
      <c r="P50" s="75">
        <f t="shared" si="4"/>
        <v>-6.75</v>
      </c>
      <c r="R50" s="68"/>
      <c r="T50" s="19"/>
    </row>
    <row r="51" spans="1:20" x14ac:dyDescent="0.25">
      <c r="A51" t="s">
        <v>94</v>
      </c>
      <c r="B51" s="15"/>
      <c r="C51" s="21"/>
      <c r="D51" s="19"/>
      <c r="E51" s="19"/>
      <c r="F51" s="19"/>
      <c r="G51" s="19"/>
      <c r="H51" s="19"/>
      <c r="I51" s="27"/>
      <c r="J51" s="27"/>
      <c r="K51" s="55"/>
      <c r="L51" s="44"/>
      <c r="M51" s="44"/>
      <c r="N51" s="62"/>
      <c r="O51" s="19">
        <f t="shared" si="6"/>
        <v>0</v>
      </c>
      <c r="P51" s="75">
        <f t="shared" si="4"/>
        <v>0</v>
      </c>
      <c r="S51" s="35"/>
      <c r="T51" s="19"/>
    </row>
    <row r="52" spans="1:20" x14ac:dyDescent="0.25">
      <c r="A52" t="s">
        <v>66</v>
      </c>
      <c r="B52" s="15"/>
      <c r="C52" s="21">
        <f>113.95+15.81</f>
        <v>129.76</v>
      </c>
      <c r="D52" s="19"/>
      <c r="E52" s="19"/>
      <c r="F52" s="19"/>
      <c r="G52" s="19">
        <f>38.95+75</f>
        <v>113.95</v>
      </c>
      <c r="H52" s="19"/>
      <c r="I52" s="55"/>
      <c r="J52" s="27"/>
      <c r="K52" s="55"/>
      <c r="L52" s="44"/>
      <c r="M52" s="44"/>
      <c r="N52" s="96"/>
      <c r="O52" s="19">
        <f t="shared" si="6"/>
        <v>243.70999999999998</v>
      </c>
      <c r="P52" s="75">
        <f t="shared" si="4"/>
        <v>-243.70999999999998</v>
      </c>
      <c r="T52" s="19"/>
    </row>
    <row r="53" spans="1:20" x14ac:dyDescent="0.25">
      <c r="A53" s="23" t="s">
        <v>24</v>
      </c>
      <c r="B53" s="32">
        <f t="shared" ref="B53:P53" si="7">SUM(B18:B52)</f>
        <v>37547</v>
      </c>
      <c r="C53" s="33">
        <f t="shared" si="7"/>
        <v>6316.64</v>
      </c>
      <c r="D53" s="33">
        <f t="shared" si="7"/>
        <v>1775.5300000000002</v>
      </c>
      <c r="E53" s="33">
        <f t="shared" si="7"/>
        <v>7168.47</v>
      </c>
      <c r="F53" s="33">
        <f t="shared" si="7"/>
        <v>1139.5999999999999</v>
      </c>
      <c r="G53" s="33">
        <f t="shared" si="7"/>
        <v>2391.25</v>
      </c>
      <c r="H53" s="33">
        <f t="shared" si="7"/>
        <v>0</v>
      </c>
      <c r="I53" s="33">
        <f t="shared" si="7"/>
        <v>0</v>
      </c>
      <c r="J53" s="33">
        <f t="shared" si="7"/>
        <v>0</v>
      </c>
      <c r="K53" s="33">
        <f t="shared" si="7"/>
        <v>0</v>
      </c>
      <c r="L53" s="33">
        <f t="shared" si="7"/>
        <v>0</v>
      </c>
      <c r="M53" s="33">
        <f t="shared" si="7"/>
        <v>0</v>
      </c>
      <c r="N53" s="33">
        <f t="shared" si="7"/>
        <v>0</v>
      </c>
      <c r="O53" s="33">
        <f t="shared" si="7"/>
        <v>18678.829999999994</v>
      </c>
      <c r="P53" s="73">
        <f t="shared" si="7"/>
        <v>18868.169999999998</v>
      </c>
      <c r="Q53" s="68"/>
      <c r="R53" s="35"/>
      <c r="S53" s="35"/>
      <c r="T53" s="34"/>
    </row>
    <row r="54" spans="1:20" x14ac:dyDescent="0.25">
      <c r="B54" s="15"/>
      <c r="C54" s="2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20"/>
      <c r="O54" s="19"/>
      <c r="P54" s="72"/>
    </row>
    <row r="55" spans="1:20" ht="23.25" x14ac:dyDescent="0.35">
      <c r="A55" s="1" t="s">
        <v>45</v>
      </c>
      <c r="B55" s="15"/>
      <c r="C55" s="2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20"/>
      <c r="O55" s="19"/>
      <c r="P55" s="72"/>
    </row>
    <row r="56" spans="1:20" ht="23.25" x14ac:dyDescent="0.35">
      <c r="A56" s="1" t="s">
        <v>143</v>
      </c>
      <c r="C56" s="3"/>
      <c r="N56" s="4"/>
      <c r="O56" s="19"/>
      <c r="P56" s="72"/>
    </row>
    <row r="57" spans="1:20" x14ac:dyDescent="0.25">
      <c r="B57" s="12"/>
      <c r="C57" s="2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20"/>
      <c r="O57" s="19"/>
      <c r="P57" s="72"/>
    </row>
    <row r="58" spans="1:20" x14ac:dyDescent="0.25">
      <c r="A58" s="23" t="s">
        <v>25</v>
      </c>
      <c r="B58" s="12"/>
      <c r="C58" s="2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20"/>
      <c r="O58" s="19"/>
      <c r="P58" s="72"/>
      <c r="Q58" s="2"/>
    </row>
    <row r="59" spans="1:20" x14ac:dyDescent="0.25">
      <c r="A59" t="s">
        <v>26</v>
      </c>
      <c r="B59" s="12"/>
      <c r="C59" s="21">
        <f>48.67+55.91+3.17-1.72+1.68</f>
        <v>107.71000000000001</v>
      </c>
      <c r="D59" s="19">
        <v>159.41999999999999</v>
      </c>
      <c r="E59" s="19">
        <v>1.68</v>
      </c>
      <c r="F59" s="19">
        <f>9.87+1.68</f>
        <v>11.549999999999999</v>
      </c>
      <c r="G59" s="19">
        <v>305.11</v>
      </c>
      <c r="H59" s="19"/>
      <c r="I59" s="19"/>
      <c r="J59" s="19"/>
      <c r="K59" s="19"/>
      <c r="L59" s="19"/>
      <c r="M59" s="19"/>
      <c r="N59" s="96"/>
      <c r="O59" s="19">
        <f t="shared" ref="O59:O60" si="8">SUM(C59:N59)</f>
        <v>585.47</v>
      </c>
      <c r="P59" s="72"/>
      <c r="Q59" s="36"/>
      <c r="R59" s="2"/>
    </row>
    <row r="60" spans="1:20" x14ac:dyDescent="0.25">
      <c r="A60" t="s">
        <v>27</v>
      </c>
      <c r="B60" s="12"/>
      <c r="C60" s="21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20"/>
      <c r="O60" s="19">
        <f t="shared" si="8"/>
        <v>0</v>
      </c>
      <c r="P60" s="72"/>
      <c r="Q60" s="2"/>
    </row>
    <row r="61" spans="1:20" x14ac:dyDescent="0.25">
      <c r="A61" t="s">
        <v>28</v>
      </c>
      <c r="B61" s="37">
        <f>SUM(B59:B60)</f>
        <v>0</v>
      </c>
      <c r="C61" s="37">
        <f>C60-C59</f>
        <v>-107.71000000000001</v>
      </c>
      <c r="D61" s="37">
        <f t="shared" ref="D61:N61" si="9">D60-D59</f>
        <v>-159.41999999999999</v>
      </c>
      <c r="E61" s="37">
        <f t="shared" si="9"/>
        <v>-1.68</v>
      </c>
      <c r="F61" s="37">
        <f t="shared" si="9"/>
        <v>-11.549999999999999</v>
      </c>
      <c r="G61" s="37">
        <f t="shared" si="9"/>
        <v>-305.11</v>
      </c>
      <c r="H61" s="37">
        <f t="shared" si="9"/>
        <v>0</v>
      </c>
      <c r="I61" s="37">
        <f t="shared" si="9"/>
        <v>0</v>
      </c>
      <c r="J61" s="37">
        <f t="shared" si="9"/>
        <v>0</v>
      </c>
      <c r="K61" s="37">
        <f t="shared" si="9"/>
        <v>0</v>
      </c>
      <c r="L61" s="37">
        <f t="shared" si="9"/>
        <v>0</v>
      </c>
      <c r="M61" s="37">
        <f t="shared" si="9"/>
        <v>0</v>
      </c>
      <c r="N61" s="37">
        <f t="shared" si="9"/>
        <v>0</v>
      </c>
      <c r="O61" s="37">
        <f>O60-O59</f>
        <v>-585.47</v>
      </c>
      <c r="P61" s="25">
        <f>O61</f>
        <v>-585.47</v>
      </c>
      <c r="Q61" s="69"/>
      <c r="R61" s="35"/>
    </row>
    <row r="62" spans="1:20" x14ac:dyDescent="0.25">
      <c r="B62" s="34"/>
      <c r="C62" s="21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72"/>
    </row>
    <row r="63" spans="1:20" x14ac:dyDescent="0.25">
      <c r="B63" s="34"/>
      <c r="C63" s="21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72"/>
      <c r="S63" s="35"/>
    </row>
    <row r="64" spans="1:20" x14ac:dyDescent="0.25">
      <c r="B64" s="34"/>
      <c r="C64" s="21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72"/>
    </row>
    <row r="65" spans="1:19" x14ac:dyDescent="0.25">
      <c r="B65" s="12"/>
      <c r="C65" s="21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20"/>
      <c r="O65" s="19"/>
      <c r="P65" s="72"/>
      <c r="S65" s="35"/>
    </row>
    <row r="66" spans="1:19" x14ac:dyDescent="0.25">
      <c r="A66" s="23" t="s">
        <v>29</v>
      </c>
      <c r="B66" s="12"/>
      <c r="C66" s="21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20"/>
      <c r="O66" s="19"/>
      <c r="P66" s="72"/>
      <c r="S66" s="35"/>
    </row>
    <row r="67" spans="1:19" x14ac:dyDescent="0.25">
      <c r="A67" t="s">
        <v>30</v>
      </c>
      <c r="B67" s="12"/>
      <c r="C67" s="38"/>
      <c r="D67" s="17"/>
      <c r="E67" s="17"/>
      <c r="F67" s="17"/>
      <c r="G67" s="17"/>
      <c r="H67" s="17"/>
      <c r="I67" s="18"/>
      <c r="J67" s="19"/>
      <c r="K67" s="19"/>
      <c r="L67" s="19"/>
      <c r="M67" s="19"/>
      <c r="N67" s="20"/>
      <c r="O67" s="19">
        <f t="shared" ref="O67:O68" si="10">SUM(C67:N67)</f>
        <v>0</v>
      </c>
      <c r="P67" s="72"/>
      <c r="S67" s="35"/>
    </row>
    <row r="68" spans="1:19" x14ac:dyDescent="0.25">
      <c r="A68" t="s">
        <v>31</v>
      </c>
      <c r="B68" s="12"/>
      <c r="C68" s="21">
        <v>3000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20"/>
      <c r="O68" s="19">
        <f t="shared" si="10"/>
        <v>3000</v>
      </c>
      <c r="P68" s="72"/>
      <c r="Q68" s="69">
        <f>O67-O68</f>
        <v>-3000</v>
      </c>
      <c r="S68" s="45"/>
    </row>
    <row r="69" spans="1:19" hidden="1" x14ac:dyDescent="0.25">
      <c r="A69" t="s">
        <v>32</v>
      </c>
      <c r="B69" s="12"/>
      <c r="C69" s="21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20"/>
      <c r="O69" s="19"/>
      <c r="P69" s="72"/>
    </row>
    <row r="70" spans="1:19" hidden="1" x14ac:dyDescent="0.25">
      <c r="A70" t="s">
        <v>33</v>
      </c>
      <c r="B70" s="12"/>
      <c r="C70" s="21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20"/>
      <c r="O70" s="19"/>
      <c r="P70" s="72"/>
    </row>
    <row r="71" spans="1:19" x14ac:dyDescent="0.25">
      <c r="B71" s="26">
        <f t="shared" ref="B71:P71" si="11">SUM(B67:B70)</f>
        <v>0</v>
      </c>
      <c r="C71" s="25">
        <f>C67-C68</f>
        <v>-3000</v>
      </c>
      <c r="D71" s="25">
        <f t="shared" ref="D71:N71" si="12">D67-D68</f>
        <v>0</v>
      </c>
      <c r="E71" s="25">
        <f t="shared" si="12"/>
        <v>0</v>
      </c>
      <c r="F71" s="25">
        <f t="shared" si="12"/>
        <v>0</v>
      </c>
      <c r="G71" s="25">
        <f t="shared" si="12"/>
        <v>0</v>
      </c>
      <c r="H71" s="25">
        <f t="shared" si="12"/>
        <v>0</v>
      </c>
      <c r="I71" s="25">
        <f t="shared" si="12"/>
        <v>0</v>
      </c>
      <c r="J71" s="25">
        <f t="shared" si="12"/>
        <v>0</v>
      </c>
      <c r="K71" s="25">
        <f t="shared" si="12"/>
        <v>0</v>
      </c>
      <c r="L71" s="25">
        <f t="shared" si="12"/>
        <v>0</v>
      </c>
      <c r="M71" s="25">
        <f t="shared" si="12"/>
        <v>0</v>
      </c>
      <c r="N71" s="25">
        <f t="shared" si="12"/>
        <v>0</v>
      </c>
      <c r="O71" s="25">
        <f>O67-O68</f>
        <v>-3000</v>
      </c>
      <c r="P71" s="25">
        <f t="shared" si="11"/>
        <v>0</v>
      </c>
      <c r="S71" s="19"/>
    </row>
    <row r="72" spans="1:19" x14ac:dyDescent="0.25">
      <c r="S72" s="47"/>
    </row>
    <row r="73" spans="1:19" x14ac:dyDescent="0.25">
      <c r="A73" s="23" t="s">
        <v>34</v>
      </c>
      <c r="P73" s="35"/>
    </row>
    <row r="74" spans="1:19" x14ac:dyDescent="0.25">
      <c r="A74" t="s">
        <v>35</v>
      </c>
      <c r="B74" s="39"/>
      <c r="C74" s="40">
        <f>B84</f>
        <v>42946.46</v>
      </c>
      <c r="D74" s="39">
        <f>C79</f>
        <v>52042.11</v>
      </c>
      <c r="E74" s="39">
        <f t="shared" ref="E74:N74" si="13">D79</f>
        <v>50107.16</v>
      </c>
      <c r="F74" s="39">
        <f t="shared" si="13"/>
        <v>43075.43</v>
      </c>
      <c r="G74" s="39">
        <f t="shared" si="13"/>
        <v>41924.28</v>
      </c>
      <c r="H74" s="39">
        <f t="shared" si="13"/>
        <v>44255.899999999994</v>
      </c>
      <c r="I74" s="39">
        <f t="shared" si="13"/>
        <v>44255.899999999994</v>
      </c>
      <c r="J74" s="39">
        <f t="shared" si="13"/>
        <v>44255.899999999994</v>
      </c>
      <c r="K74" s="39">
        <f t="shared" si="13"/>
        <v>44255.899999999994</v>
      </c>
      <c r="L74" s="39">
        <f t="shared" si="13"/>
        <v>44255.899999999994</v>
      </c>
      <c r="M74" s="39">
        <f>L79</f>
        <v>44255.899999999994</v>
      </c>
      <c r="N74" s="39">
        <f t="shared" si="13"/>
        <v>44255.899999999994</v>
      </c>
      <c r="O74" s="39">
        <v>50107.16</v>
      </c>
    </row>
    <row r="75" spans="1:19" x14ac:dyDescent="0.25">
      <c r="A75" t="s">
        <v>36</v>
      </c>
      <c r="B75" s="39"/>
      <c r="C75" s="40">
        <f t="shared" ref="C75:N75" si="14">C15</f>
        <v>18520</v>
      </c>
      <c r="D75" s="40">
        <f t="shared" si="14"/>
        <v>0</v>
      </c>
      <c r="E75" s="40">
        <f t="shared" si="14"/>
        <v>138.41999999999999</v>
      </c>
      <c r="F75" s="40">
        <f t="shared" si="14"/>
        <v>0</v>
      </c>
      <c r="G75" s="40">
        <f t="shared" si="14"/>
        <v>5027.9799999999996</v>
      </c>
      <c r="H75" s="40">
        <f t="shared" si="14"/>
        <v>0</v>
      </c>
      <c r="I75" s="40">
        <f t="shared" si="14"/>
        <v>0</v>
      </c>
      <c r="J75" s="40">
        <f t="shared" si="14"/>
        <v>0</v>
      </c>
      <c r="K75" s="40">
        <f t="shared" si="14"/>
        <v>0</v>
      </c>
      <c r="L75" s="40">
        <f t="shared" si="14"/>
        <v>0</v>
      </c>
      <c r="M75" s="40">
        <f t="shared" si="14"/>
        <v>0</v>
      </c>
      <c r="N75" s="40">
        <f t="shared" si="14"/>
        <v>0</v>
      </c>
      <c r="O75" s="40">
        <f>D15</f>
        <v>0</v>
      </c>
    </row>
    <row r="76" spans="1:19" x14ac:dyDescent="0.25">
      <c r="A76" t="s">
        <v>37</v>
      </c>
      <c r="B76" s="39"/>
      <c r="C76" s="40">
        <f>-C53</f>
        <v>-6316.64</v>
      </c>
      <c r="D76" s="40">
        <f>-D53</f>
        <v>-1775.5300000000002</v>
      </c>
      <c r="E76" s="40">
        <f>-E53</f>
        <v>-7168.47</v>
      </c>
      <c r="F76" s="40">
        <f>-F53</f>
        <v>-1139.5999999999999</v>
      </c>
      <c r="G76" s="40">
        <f t="shared" ref="G76:N76" si="15">-G53</f>
        <v>-2391.25</v>
      </c>
      <c r="H76" s="40">
        <f t="shared" si="15"/>
        <v>0</v>
      </c>
      <c r="I76" s="40">
        <f t="shared" si="15"/>
        <v>0</v>
      </c>
      <c r="J76" s="40">
        <f t="shared" si="15"/>
        <v>0</v>
      </c>
      <c r="K76" s="40">
        <f t="shared" si="15"/>
        <v>0</v>
      </c>
      <c r="L76" s="40">
        <f t="shared" si="15"/>
        <v>0</v>
      </c>
      <c r="M76" s="40">
        <f t="shared" si="15"/>
        <v>0</v>
      </c>
      <c r="N76" s="40">
        <f t="shared" si="15"/>
        <v>0</v>
      </c>
      <c r="O76" s="40">
        <f>-D53</f>
        <v>-1775.5300000000002</v>
      </c>
    </row>
    <row r="77" spans="1:19" x14ac:dyDescent="0.25">
      <c r="A77" t="s">
        <v>38</v>
      </c>
      <c r="B77" s="39"/>
      <c r="C77" s="40">
        <f t="shared" ref="C77:N77" si="16">C61</f>
        <v>-107.71000000000001</v>
      </c>
      <c r="D77" s="40">
        <f t="shared" si="16"/>
        <v>-159.41999999999999</v>
      </c>
      <c r="E77" s="40">
        <f t="shared" si="16"/>
        <v>-1.68</v>
      </c>
      <c r="F77" s="40">
        <f t="shared" si="16"/>
        <v>-11.549999999999999</v>
      </c>
      <c r="G77" s="40">
        <f t="shared" si="16"/>
        <v>-305.11</v>
      </c>
      <c r="H77" s="40">
        <f t="shared" si="16"/>
        <v>0</v>
      </c>
      <c r="I77" s="40">
        <f t="shared" si="16"/>
        <v>0</v>
      </c>
      <c r="J77" s="40">
        <f t="shared" si="16"/>
        <v>0</v>
      </c>
      <c r="K77" s="40">
        <f t="shared" si="16"/>
        <v>0</v>
      </c>
      <c r="L77" s="40">
        <f t="shared" si="16"/>
        <v>0</v>
      </c>
      <c r="M77" s="40">
        <f t="shared" si="16"/>
        <v>0</v>
      </c>
      <c r="N77" s="40">
        <f t="shared" si="16"/>
        <v>0</v>
      </c>
      <c r="O77" s="40">
        <f>-D53</f>
        <v>-1775.5300000000002</v>
      </c>
    </row>
    <row r="78" spans="1:19" x14ac:dyDescent="0.25">
      <c r="A78" t="s">
        <v>39</v>
      </c>
      <c r="B78" s="39"/>
      <c r="C78" s="40">
        <f t="shared" ref="C78:N78" si="17">C67-C68</f>
        <v>-3000</v>
      </c>
      <c r="D78" s="40">
        <f t="shared" si="17"/>
        <v>0</v>
      </c>
      <c r="E78" s="40">
        <f t="shared" si="17"/>
        <v>0</v>
      </c>
      <c r="F78" s="40">
        <f t="shared" si="17"/>
        <v>0</v>
      </c>
      <c r="G78" s="40">
        <f t="shared" si="17"/>
        <v>0</v>
      </c>
      <c r="H78" s="40">
        <f t="shared" si="17"/>
        <v>0</v>
      </c>
      <c r="I78" s="40">
        <f t="shared" si="17"/>
        <v>0</v>
      </c>
      <c r="J78" s="40">
        <f t="shared" si="17"/>
        <v>0</v>
      </c>
      <c r="K78" s="40">
        <f t="shared" si="17"/>
        <v>0</v>
      </c>
      <c r="L78" s="40">
        <f t="shared" si="17"/>
        <v>0</v>
      </c>
      <c r="M78" s="40">
        <f t="shared" si="17"/>
        <v>0</v>
      </c>
      <c r="N78" s="40">
        <f t="shared" si="17"/>
        <v>0</v>
      </c>
      <c r="O78" s="40">
        <f>-D68</f>
        <v>0</v>
      </c>
    </row>
    <row r="79" spans="1:19" x14ac:dyDescent="0.25">
      <c r="A79" t="s">
        <v>40</v>
      </c>
      <c r="C79" s="41">
        <f t="shared" ref="C79:O79" si="18">SUM(C74:C78)</f>
        <v>52042.11</v>
      </c>
      <c r="D79" s="41">
        <f t="shared" si="18"/>
        <v>50107.16</v>
      </c>
      <c r="E79" s="41">
        <f t="shared" si="18"/>
        <v>43075.43</v>
      </c>
      <c r="F79" s="41">
        <f t="shared" si="18"/>
        <v>41924.28</v>
      </c>
      <c r="G79" s="41">
        <f t="shared" si="18"/>
        <v>44255.899999999994</v>
      </c>
      <c r="H79" s="41">
        <f t="shared" si="18"/>
        <v>44255.899999999994</v>
      </c>
      <c r="I79" s="41">
        <f t="shared" si="18"/>
        <v>44255.899999999994</v>
      </c>
      <c r="J79" s="41">
        <f t="shared" si="18"/>
        <v>44255.899999999994</v>
      </c>
      <c r="K79" s="41">
        <f t="shared" si="18"/>
        <v>44255.899999999994</v>
      </c>
      <c r="L79" s="41">
        <f t="shared" si="18"/>
        <v>44255.899999999994</v>
      </c>
      <c r="M79" s="41">
        <f t="shared" si="18"/>
        <v>44255.899999999994</v>
      </c>
      <c r="N79" s="41">
        <f t="shared" si="18"/>
        <v>44255.899999999994</v>
      </c>
      <c r="O79" s="41">
        <f t="shared" si="18"/>
        <v>46556.100000000006</v>
      </c>
    </row>
    <row r="80" spans="1:19" x14ac:dyDescent="0.25">
      <c r="H80" s="7"/>
      <c r="Q80" s="35"/>
    </row>
    <row r="81" spans="1:20" x14ac:dyDescent="0.25">
      <c r="A81" s="42" t="s">
        <v>41</v>
      </c>
      <c r="B81" s="43" t="s">
        <v>146</v>
      </c>
      <c r="C81" s="7" t="s">
        <v>147</v>
      </c>
      <c r="D81" s="7" t="s">
        <v>148</v>
      </c>
      <c r="E81" s="7" t="s">
        <v>149</v>
      </c>
      <c r="F81" s="7" t="s">
        <v>150</v>
      </c>
      <c r="G81" s="7" t="s">
        <v>151</v>
      </c>
      <c r="H81" s="7" t="s">
        <v>152</v>
      </c>
      <c r="I81" s="7" t="s">
        <v>153</v>
      </c>
      <c r="J81" s="7" t="s">
        <v>154</v>
      </c>
      <c r="K81" s="7" t="s">
        <v>155</v>
      </c>
      <c r="L81" s="7" t="s">
        <v>156</v>
      </c>
      <c r="M81" s="7" t="s">
        <v>157</v>
      </c>
      <c r="N81" s="7" t="s">
        <v>158</v>
      </c>
      <c r="O81" s="7"/>
      <c r="Q81" s="35"/>
    </row>
    <row r="82" spans="1:20" x14ac:dyDescent="0.25">
      <c r="A82" t="s">
        <v>42</v>
      </c>
      <c r="B82" s="44">
        <f>14475.24</f>
        <v>14475.24</v>
      </c>
      <c r="C82" s="44">
        <v>23570.89</v>
      </c>
      <c r="D82" s="44">
        <v>21635.94</v>
      </c>
      <c r="E82" s="44">
        <v>14465.79</v>
      </c>
      <c r="F82" s="44">
        <v>13314.64</v>
      </c>
      <c r="G82" s="44">
        <v>15646.26</v>
      </c>
      <c r="H82" s="44"/>
      <c r="I82" s="44"/>
      <c r="J82" s="44"/>
      <c r="K82" s="44"/>
      <c r="L82" s="44"/>
      <c r="M82" s="44"/>
      <c r="N82" s="44"/>
      <c r="O82" s="44"/>
      <c r="Q82" s="35"/>
      <c r="T82" s="44"/>
    </row>
    <row r="83" spans="1:20" x14ac:dyDescent="0.25">
      <c r="A83" t="s">
        <v>43</v>
      </c>
      <c r="B83" s="19">
        <v>28471.22</v>
      </c>
      <c r="C83" s="19">
        <v>28471.22</v>
      </c>
      <c r="D83" s="19">
        <v>28471.22</v>
      </c>
      <c r="E83" s="19">
        <v>28609.64</v>
      </c>
      <c r="F83" s="19">
        <v>28609.64</v>
      </c>
      <c r="G83" s="19">
        <v>28609.64</v>
      </c>
      <c r="H83" s="19"/>
      <c r="I83" s="19"/>
      <c r="J83" s="19"/>
      <c r="K83" s="19"/>
      <c r="L83" s="19"/>
      <c r="M83" s="19"/>
      <c r="N83" s="19"/>
      <c r="O83" s="19"/>
      <c r="T83" s="19"/>
    </row>
    <row r="84" spans="1:20" x14ac:dyDescent="0.25">
      <c r="B84" s="45">
        <f t="shared" ref="B84:O84" si="19">SUM(B82:B83)</f>
        <v>42946.46</v>
      </c>
      <c r="C84" s="46">
        <f t="shared" si="19"/>
        <v>52042.11</v>
      </c>
      <c r="D84" s="46">
        <f t="shared" si="19"/>
        <v>50107.16</v>
      </c>
      <c r="E84" s="46">
        <f t="shared" si="19"/>
        <v>43075.43</v>
      </c>
      <c r="F84" s="46">
        <f t="shared" si="19"/>
        <v>41924.28</v>
      </c>
      <c r="G84" s="46">
        <f t="shared" si="19"/>
        <v>44255.9</v>
      </c>
      <c r="H84" s="46">
        <f t="shared" si="19"/>
        <v>0</v>
      </c>
      <c r="I84" s="46">
        <f t="shared" si="19"/>
        <v>0</v>
      </c>
      <c r="J84" s="46">
        <f t="shared" si="19"/>
        <v>0</v>
      </c>
      <c r="K84" s="46">
        <f t="shared" si="19"/>
        <v>0</v>
      </c>
      <c r="L84" s="46">
        <f t="shared" si="19"/>
        <v>0</v>
      </c>
      <c r="M84" s="46">
        <f t="shared" si="19"/>
        <v>0</v>
      </c>
      <c r="N84" s="46">
        <f t="shared" si="19"/>
        <v>0</v>
      </c>
      <c r="O84" s="46">
        <f t="shared" si="19"/>
        <v>0</v>
      </c>
      <c r="Q84" s="19">
        <f>-Q15+Q53+Q61+Q68</f>
        <v>-3000</v>
      </c>
    </row>
    <row r="85" spans="1:20" x14ac:dyDescent="0.25">
      <c r="Q85" s="35">
        <f>N84-B84</f>
        <v>-42946.46</v>
      </c>
    </row>
    <row r="86" spans="1:20" x14ac:dyDescent="0.25">
      <c r="A86" s="31" t="s">
        <v>44</v>
      </c>
      <c r="C86" s="35">
        <f t="shared" ref="C86:O86" si="20">C79-C84</f>
        <v>0</v>
      </c>
      <c r="D86" s="35">
        <f t="shared" si="20"/>
        <v>0</v>
      </c>
      <c r="E86" s="35">
        <f t="shared" si="20"/>
        <v>0</v>
      </c>
      <c r="F86" s="35">
        <f t="shared" si="20"/>
        <v>0</v>
      </c>
      <c r="G86" s="35">
        <f t="shared" si="20"/>
        <v>0</v>
      </c>
      <c r="H86" s="35">
        <f t="shared" si="20"/>
        <v>44255.899999999994</v>
      </c>
      <c r="I86" s="35">
        <f t="shared" si="20"/>
        <v>44255.899999999994</v>
      </c>
      <c r="J86" s="35">
        <f t="shared" si="20"/>
        <v>44255.899999999994</v>
      </c>
      <c r="K86" s="35">
        <f t="shared" si="20"/>
        <v>44255.899999999994</v>
      </c>
      <c r="L86" s="35">
        <f t="shared" si="20"/>
        <v>44255.899999999994</v>
      </c>
      <c r="M86" s="35">
        <f t="shared" si="20"/>
        <v>44255.899999999994</v>
      </c>
      <c r="N86" s="35">
        <f t="shared" si="20"/>
        <v>44255.899999999994</v>
      </c>
      <c r="O86" s="35">
        <f t="shared" si="20"/>
        <v>46556.100000000006</v>
      </c>
      <c r="Q86" s="35"/>
    </row>
    <row r="87" spans="1:20" x14ac:dyDescent="0.25">
      <c r="D87" s="35"/>
      <c r="N87" s="35"/>
    </row>
  </sheetData>
  <pageMargins left="0.70866141732283472" right="0.70866141732283472" top="0.74803149606299213" bottom="0.74803149606299213" header="0.31496062992125984" footer="0.31496062992125984"/>
  <pageSetup scale="56" orientation="portrait" horizontalDpi="4294967293" vertic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B431E-CACF-48D0-97FF-AE31D880FBB5}">
  <sheetPr>
    <pageSetUpPr fitToPage="1"/>
  </sheetPr>
  <dimension ref="A1:Q43"/>
  <sheetViews>
    <sheetView topLeftCell="A25" zoomScale="150" zoomScaleNormal="150" workbookViewId="0">
      <selection activeCell="E23" sqref="E23"/>
    </sheetView>
  </sheetViews>
  <sheetFormatPr defaultRowHeight="15" x14ac:dyDescent="0.25"/>
  <cols>
    <col min="1" max="1" width="21.28515625" customWidth="1"/>
    <col min="2" max="4" width="10.5703125" customWidth="1"/>
    <col min="5" max="5" width="9.5703125" bestFit="1" customWidth="1"/>
    <col min="7" max="8" width="9.140625" customWidth="1"/>
    <col min="9" max="9" width="10.85546875" customWidth="1"/>
    <col min="10" max="16" width="9.140625" customWidth="1"/>
    <col min="17" max="17" width="13.85546875" customWidth="1"/>
  </cols>
  <sheetData>
    <row r="1" spans="1:17" ht="23.25" x14ac:dyDescent="0.35">
      <c r="A1" s="51" t="s">
        <v>45</v>
      </c>
    </row>
    <row r="2" spans="1:17" ht="23.25" x14ac:dyDescent="0.35">
      <c r="A2" s="51" t="s">
        <v>128</v>
      </c>
    </row>
    <row r="4" spans="1:17" x14ac:dyDescent="0.25">
      <c r="B4" s="7" t="s">
        <v>69</v>
      </c>
      <c r="C4" s="7" t="s">
        <v>118</v>
      </c>
      <c r="P4" t="s">
        <v>124</v>
      </c>
      <c r="Q4" s="7" t="s">
        <v>70</v>
      </c>
    </row>
    <row r="5" spans="1:17" x14ac:dyDescent="0.25">
      <c r="B5" s="7" t="s">
        <v>127</v>
      </c>
      <c r="C5" s="7" t="s">
        <v>119</v>
      </c>
      <c r="D5" s="7" t="s">
        <v>71</v>
      </c>
      <c r="E5" s="7" t="s">
        <v>3</v>
      </c>
      <c r="F5" s="7" t="s">
        <v>4</v>
      </c>
      <c r="G5" s="7" t="s">
        <v>5</v>
      </c>
      <c r="H5" s="7" t="s">
        <v>72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73</v>
      </c>
      <c r="P5" s="7" t="s">
        <v>125</v>
      </c>
      <c r="Q5" s="7" t="s">
        <v>74</v>
      </c>
    </row>
    <row r="6" spans="1:17" x14ac:dyDescent="0.25">
      <c r="P6" t="s">
        <v>126</v>
      </c>
    </row>
    <row r="7" spans="1:17" x14ac:dyDescent="0.25">
      <c r="A7" s="23" t="s">
        <v>75</v>
      </c>
    </row>
    <row r="8" spans="1:17" x14ac:dyDescent="0.25"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39"/>
    </row>
    <row r="9" spans="1:17" x14ac:dyDescent="0.25">
      <c r="A9" t="s">
        <v>76</v>
      </c>
      <c r="B9" s="39">
        <v>108.44</v>
      </c>
      <c r="C9" s="39"/>
      <c r="D9" s="39">
        <f>-5-7.5+15</f>
        <v>2.5</v>
      </c>
      <c r="E9" s="39"/>
      <c r="F9" s="39">
        <v>-6.75</v>
      </c>
      <c r="G9" s="40"/>
      <c r="H9" s="39"/>
      <c r="I9" s="39"/>
      <c r="J9" s="39"/>
      <c r="K9" s="39"/>
      <c r="L9" s="39"/>
      <c r="M9" s="39"/>
      <c r="N9" s="39"/>
      <c r="O9" s="19"/>
      <c r="P9" s="19"/>
      <c r="Q9" s="39">
        <f>SUM(B9:P9)</f>
        <v>104.19</v>
      </c>
    </row>
    <row r="10" spans="1:17" ht="14.25" customHeight="1" x14ac:dyDescent="0.25"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x14ac:dyDescent="0.25">
      <c r="A11" t="s">
        <v>77</v>
      </c>
      <c r="B11" s="39">
        <v>438.25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>
        <f>SUM(B11:P11)</f>
        <v>438.25</v>
      </c>
    </row>
    <row r="12" spans="1:17" x14ac:dyDescent="0.25"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x14ac:dyDescent="0.25">
      <c r="A13" t="s">
        <v>78</v>
      </c>
      <c r="B13" s="39">
        <v>7700</v>
      </c>
      <c r="C13" s="39"/>
      <c r="D13" s="39"/>
      <c r="E13" s="39"/>
      <c r="F13" s="40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>
        <f>SUM(B13:P13)</f>
        <v>7700</v>
      </c>
    </row>
    <row r="14" spans="1:17" x14ac:dyDescent="0.25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x14ac:dyDescent="0.25">
      <c r="A15" t="s">
        <v>79</v>
      </c>
      <c r="B15" s="39">
        <v>7017.75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>
        <f>SUM(B15:P15)</f>
        <v>7017.75</v>
      </c>
    </row>
    <row r="16" spans="1:17" x14ac:dyDescent="0.25"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1:17" x14ac:dyDescent="0.25">
      <c r="A17" t="s">
        <v>80</v>
      </c>
      <c r="B17" s="39">
        <v>420.78</v>
      </c>
      <c r="C17" s="39">
        <f>-420.78</f>
        <v>-420.78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>
        <f>SUM(B17:P17)</f>
        <v>0</v>
      </c>
    </row>
    <row r="18" spans="1:17" x14ac:dyDescent="0.25"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17" x14ac:dyDescent="0.25">
      <c r="A19" t="s">
        <v>81</v>
      </c>
      <c r="B19" s="39">
        <v>1000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>
        <f>SUM(B19:P19)</f>
        <v>1000</v>
      </c>
    </row>
    <row r="20" spans="1:17" x14ac:dyDescent="0.25"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x14ac:dyDescent="0.25">
      <c r="A21" t="s">
        <v>95</v>
      </c>
      <c r="B21" s="39">
        <v>183.43</v>
      </c>
      <c r="C21" s="39"/>
      <c r="D21" s="39">
        <f>-113.95-15.81</f>
        <v>-129.76</v>
      </c>
      <c r="E21" s="39"/>
      <c r="F21" s="39"/>
      <c r="G21" s="39"/>
      <c r="H21" s="39"/>
      <c r="I21" s="39"/>
      <c r="J21" s="39"/>
      <c r="K21" s="39"/>
      <c r="L21" s="39"/>
      <c r="M21" s="19"/>
      <c r="N21" s="39"/>
      <c r="O21" s="39"/>
      <c r="P21" s="39"/>
      <c r="Q21" s="39">
        <f>SUM(B21:P21)</f>
        <v>53.670000000000016</v>
      </c>
    </row>
    <row r="22" spans="1:17" x14ac:dyDescent="0.25">
      <c r="B22" s="39"/>
      <c r="C22" s="39"/>
      <c r="D22" s="39"/>
      <c r="E22" s="39">
        <f>5000-113.95</f>
        <v>4886.05</v>
      </c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x14ac:dyDescent="0.25">
      <c r="A23" t="s">
        <v>82</v>
      </c>
      <c r="B23" s="39">
        <v>5221.09</v>
      </c>
      <c r="C23" s="39">
        <f>-3000</f>
        <v>-3000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>
        <f>SUM(B23:P23)</f>
        <v>2221.09</v>
      </c>
    </row>
    <row r="24" spans="1:17" x14ac:dyDescent="0.25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1:17" x14ac:dyDescent="0.25">
      <c r="A25" s="23" t="s">
        <v>83</v>
      </c>
      <c r="B25" s="52">
        <f>SUM(B9:B24)</f>
        <v>22089.74</v>
      </c>
      <c r="C25" s="52">
        <f>SUM(C9:C24)</f>
        <v>-3420.7799999999997</v>
      </c>
      <c r="D25" s="52">
        <f t="shared" ref="D25:Q25" si="0">SUM(D9:D24)</f>
        <v>-127.25999999999999</v>
      </c>
      <c r="E25" s="52">
        <f t="shared" si="0"/>
        <v>4886.05</v>
      </c>
      <c r="F25" s="52">
        <f t="shared" si="0"/>
        <v>-6.75</v>
      </c>
      <c r="G25" s="52">
        <f t="shared" si="0"/>
        <v>0</v>
      </c>
      <c r="H25" s="52">
        <f t="shared" si="0"/>
        <v>0</v>
      </c>
      <c r="I25" s="52">
        <f t="shared" si="0"/>
        <v>0</v>
      </c>
      <c r="J25" s="52">
        <f t="shared" si="0"/>
        <v>0</v>
      </c>
      <c r="K25" s="52">
        <f t="shared" si="0"/>
        <v>0</v>
      </c>
      <c r="L25" s="52">
        <f t="shared" si="0"/>
        <v>0</v>
      </c>
      <c r="M25" s="52">
        <f t="shared" si="0"/>
        <v>0</v>
      </c>
      <c r="N25" s="52">
        <f t="shared" si="0"/>
        <v>0</v>
      </c>
      <c r="O25" s="52">
        <f t="shared" si="0"/>
        <v>0</v>
      </c>
      <c r="P25" s="52">
        <f t="shared" si="0"/>
        <v>0</v>
      </c>
      <c r="Q25" s="52">
        <f t="shared" si="0"/>
        <v>18534.95</v>
      </c>
    </row>
    <row r="26" spans="1:17" x14ac:dyDescent="0.25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7" x14ac:dyDescent="0.25">
      <c r="A27" s="23" t="s">
        <v>84</v>
      </c>
      <c r="B27" s="39">
        <v>20856.72</v>
      </c>
      <c r="C27" s="39">
        <v>420.78</v>
      </c>
      <c r="D27" s="39"/>
      <c r="E27" s="40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>
        <f>SUM(B27:P27)</f>
        <v>21277.5</v>
      </c>
    </row>
    <row r="28" spans="1:17" x14ac:dyDescent="0.25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7" ht="15.75" thickBot="1" x14ac:dyDescent="0.3">
      <c r="A29" s="23" t="s">
        <v>85</v>
      </c>
      <c r="B29" s="53">
        <f>SUM(B25:B28)</f>
        <v>42946.460000000006</v>
      </c>
      <c r="C29" s="53">
        <f>SUM(C25:C28)</f>
        <v>-3000</v>
      </c>
      <c r="D29" s="53">
        <f t="shared" ref="D29:Q29" si="1">SUM(D25:D28)</f>
        <v>-127.25999999999999</v>
      </c>
      <c r="E29" s="53">
        <f t="shared" si="1"/>
        <v>4886.05</v>
      </c>
      <c r="F29" s="53">
        <f t="shared" si="1"/>
        <v>-6.75</v>
      </c>
      <c r="G29" s="53">
        <f t="shared" si="1"/>
        <v>0</v>
      </c>
      <c r="H29" s="53">
        <f t="shared" si="1"/>
        <v>0</v>
      </c>
      <c r="I29" s="53">
        <f t="shared" si="1"/>
        <v>0</v>
      </c>
      <c r="J29" s="53">
        <f t="shared" si="1"/>
        <v>0</v>
      </c>
      <c r="K29" s="53">
        <f t="shared" si="1"/>
        <v>0</v>
      </c>
      <c r="L29" s="53">
        <f t="shared" si="1"/>
        <v>0</v>
      </c>
      <c r="M29" s="53">
        <f t="shared" si="1"/>
        <v>0</v>
      </c>
      <c r="N29" s="53">
        <f t="shared" si="1"/>
        <v>0</v>
      </c>
      <c r="O29" s="53">
        <f t="shared" si="1"/>
        <v>0</v>
      </c>
      <c r="P29" s="53">
        <f t="shared" si="1"/>
        <v>0</v>
      </c>
      <c r="Q29" s="53">
        <f t="shared" si="1"/>
        <v>39812.449999999997</v>
      </c>
    </row>
    <row r="30" spans="1:17" ht="15.75" thickTop="1" x14ac:dyDescent="0.25">
      <c r="O30" s="39"/>
      <c r="P30" s="39"/>
    </row>
    <row r="31" spans="1:17" x14ac:dyDescent="0.25">
      <c r="B31" s="7" t="s">
        <v>86</v>
      </c>
      <c r="C31" s="7"/>
      <c r="O31" s="31"/>
      <c r="P31" s="31"/>
      <c r="Q31" s="19"/>
    </row>
    <row r="32" spans="1:17" x14ac:dyDescent="0.25">
      <c r="B32" s="7" t="s">
        <v>87</v>
      </c>
      <c r="C32" s="7"/>
    </row>
    <row r="33" spans="9:17" x14ac:dyDescent="0.25">
      <c r="I33" s="31"/>
      <c r="O33" s="31"/>
      <c r="P33" s="31"/>
      <c r="Q33" s="97"/>
    </row>
    <row r="34" spans="9:17" x14ac:dyDescent="0.25">
      <c r="I34" s="71"/>
      <c r="Q34" s="18"/>
    </row>
    <row r="35" spans="9:17" x14ac:dyDescent="0.25">
      <c r="I35" s="71"/>
      <c r="Q35" s="35"/>
    </row>
    <row r="36" spans="9:17" x14ac:dyDescent="0.25">
      <c r="I36" s="74"/>
      <c r="Q36" s="35"/>
    </row>
    <row r="37" spans="9:17" x14ac:dyDescent="0.25">
      <c r="I37" s="74"/>
      <c r="Q37" s="35"/>
    </row>
    <row r="38" spans="9:17" x14ac:dyDescent="0.25">
      <c r="I38" s="74"/>
      <c r="Q38" s="35"/>
    </row>
    <row r="39" spans="9:17" x14ac:dyDescent="0.25">
      <c r="I39" s="34"/>
    </row>
    <row r="40" spans="9:17" x14ac:dyDescent="0.25">
      <c r="I40" s="34"/>
    </row>
    <row r="41" spans="9:17" x14ac:dyDescent="0.25">
      <c r="I41" s="34"/>
    </row>
    <row r="42" spans="9:17" x14ac:dyDescent="0.25">
      <c r="I42" s="34"/>
    </row>
    <row r="43" spans="9:17" x14ac:dyDescent="0.25">
      <c r="I43" s="34">
        <f>SUM(I37:I42)</f>
        <v>0</v>
      </c>
      <c r="K43" s="70"/>
      <c r="M43" s="70"/>
    </row>
  </sheetData>
  <pageMargins left="0.7" right="0.7" top="0.75" bottom="0.75" header="0.3" footer="0.3"/>
  <pageSetup scale="6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E410C-A832-4CD5-A13C-7287C3C2D6FE}">
  <sheetPr>
    <pageSetUpPr fitToPage="1"/>
  </sheetPr>
  <dimension ref="A1:S47"/>
  <sheetViews>
    <sheetView tabSelected="1" workbookViewId="0">
      <selection activeCell="S10" sqref="S10"/>
    </sheetView>
  </sheetViews>
  <sheetFormatPr defaultColWidth="11.42578125" defaultRowHeight="15" x14ac:dyDescent="0.25"/>
  <cols>
    <col min="1" max="1" width="10.140625" customWidth="1"/>
    <col min="2" max="2" width="15.7109375" customWidth="1"/>
    <col min="3" max="3" width="17.7109375" customWidth="1"/>
    <col min="4" max="4" width="13.85546875" customWidth="1"/>
    <col min="5" max="5" width="10" customWidth="1"/>
    <col min="6" max="6" width="10.140625" customWidth="1"/>
    <col min="7" max="7" width="9.140625" customWidth="1"/>
    <col min="8" max="8" width="9" customWidth="1"/>
    <col min="9" max="9" width="8" customWidth="1"/>
    <col min="10" max="10" width="8.140625" customWidth="1"/>
    <col min="13" max="13" width="9.28515625" customWidth="1"/>
    <col min="14" max="14" width="9.140625" customWidth="1"/>
    <col min="15" max="16" width="11.42578125" customWidth="1"/>
    <col min="17" max="17" width="9.7109375" customWidth="1"/>
    <col min="19" max="19" width="32.140625" customWidth="1"/>
  </cols>
  <sheetData>
    <row r="1" spans="1:19" x14ac:dyDescent="0.25">
      <c r="A1" s="77" t="s">
        <v>142</v>
      </c>
      <c r="B1" s="77"/>
      <c r="C1" s="77"/>
      <c r="D1" s="78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x14ac:dyDescent="0.25">
      <c r="A2" s="78"/>
      <c r="B2" s="78"/>
      <c r="C2" s="78"/>
      <c r="D2" s="78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x14ac:dyDescent="0.25">
      <c r="A3" s="77" t="s">
        <v>96</v>
      </c>
      <c r="B3" s="77" t="s">
        <v>97</v>
      </c>
      <c r="C3" s="77" t="s">
        <v>99</v>
      </c>
      <c r="D3" s="77" t="s">
        <v>98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 t="s">
        <v>121</v>
      </c>
      <c r="R3" s="76"/>
      <c r="S3" s="76"/>
    </row>
    <row r="4" spans="1:19" x14ac:dyDescent="0.25">
      <c r="A4" s="76"/>
      <c r="B4" s="76"/>
      <c r="C4" s="76"/>
      <c r="D4" s="76" t="s">
        <v>161</v>
      </c>
      <c r="E4" s="77" t="s">
        <v>71</v>
      </c>
      <c r="F4" s="77" t="s">
        <v>3</v>
      </c>
      <c r="G4" s="77" t="s">
        <v>4</v>
      </c>
      <c r="H4" s="77" t="s">
        <v>5</v>
      </c>
      <c r="I4" s="77" t="s">
        <v>6</v>
      </c>
      <c r="J4" s="77" t="s">
        <v>7</v>
      </c>
      <c r="K4" s="77" t="s">
        <v>100</v>
      </c>
      <c r="L4" s="77" t="s">
        <v>9</v>
      </c>
      <c r="M4" s="77" t="s">
        <v>10</v>
      </c>
      <c r="N4" s="77" t="s">
        <v>11</v>
      </c>
      <c r="O4" s="77" t="s">
        <v>12</v>
      </c>
      <c r="P4" s="77" t="s">
        <v>13</v>
      </c>
      <c r="Q4" s="77" t="s">
        <v>120</v>
      </c>
      <c r="R4" s="77" t="s">
        <v>101</v>
      </c>
      <c r="S4" s="77" t="s">
        <v>102</v>
      </c>
    </row>
    <row r="5" spans="1:19" x14ac:dyDescent="0.25">
      <c r="J5" s="79"/>
      <c r="K5" s="79"/>
      <c r="L5" s="79"/>
      <c r="M5" s="79"/>
      <c r="N5" s="79"/>
      <c r="O5" s="79"/>
      <c r="P5" s="79"/>
      <c r="Q5" s="79"/>
      <c r="R5" s="80"/>
    </row>
    <row r="6" spans="1:19" x14ac:dyDescent="0.25">
      <c r="A6" s="81"/>
      <c r="D6" s="82"/>
      <c r="E6" s="79"/>
      <c r="F6" s="79"/>
      <c r="G6" s="79"/>
      <c r="H6" s="79"/>
      <c r="I6" s="79"/>
      <c r="J6" s="79"/>
      <c r="K6" s="79"/>
      <c r="R6" s="23"/>
    </row>
    <row r="7" spans="1:19" x14ac:dyDescent="0.25">
      <c r="A7" s="81"/>
      <c r="B7" s="81"/>
      <c r="C7" s="81"/>
      <c r="D7" s="82"/>
      <c r="E7" s="79"/>
      <c r="F7" s="79"/>
      <c r="G7" s="79"/>
      <c r="H7" s="79"/>
      <c r="I7" s="79"/>
      <c r="J7" s="79"/>
      <c r="K7" s="79"/>
      <c r="R7" s="23"/>
    </row>
    <row r="8" spans="1:19" x14ac:dyDescent="0.25">
      <c r="A8" t="s">
        <v>103</v>
      </c>
      <c r="B8" s="81" t="s">
        <v>104</v>
      </c>
      <c r="C8" s="81" t="s">
        <v>105</v>
      </c>
      <c r="D8" s="82">
        <v>153.94999999999999</v>
      </c>
      <c r="E8" s="92">
        <v>-113.95</v>
      </c>
      <c r="F8" s="92"/>
      <c r="G8" s="83"/>
      <c r="H8" s="92"/>
      <c r="I8" s="92">
        <v>-113.95</v>
      </c>
      <c r="J8" s="92"/>
      <c r="K8" s="92"/>
      <c r="L8" s="92"/>
      <c r="M8" s="83"/>
      <c r="N8" s="83"/>
      <c r="O8" s="83"/>
      <c r="P8" s="83"/>
      <c r="Q8" s="83">
        <f>SUM(E8:P8)</f>
        <v>-227.9</v>
      </c>
      <c r="R8" s="93">
        <f>D8+Q8</f>
        <v>-73.950000000000017</v>
      </c>
      <c r="S8" t="s">
        <v>106</v>
      </c>
    </row>
    <row r="9" spans="1:19" x14ac:dyDescent="0.25">
      <c r="A9" s="81" t="s">
        <v>107</v>
      </c>
      <c r="B9" s="81" t="s">
        <v>115</v>
      </c>
      <c r="C9" s="81" t="s">
        <v>108</v>
      </c>
      <c r="D9" s="82">
        <v>29.48</v>
      </c>
      <c r="E9" s="83">
        <v>-15.81</v>
      </c>
      <c r="F9" s="83"/>
      <c r="G9" s="83"/>
      <c r="H9" s="83"/>
      <c r="I9" s="92"/>
      <c r="J9" s="92"/>
      <c r="K9" s="92"/>
      <c r="L9" s="83"/>
      <c r="M9" s="83"/>
      <c r="N9" s="83"/>
      <c r="O9" s="83"/>
      <c r="P9" s="83"/>
      <c r="Q9" s="83">
        <f t="shared" ref="Q9" si="0">SUM(E9:P9)</f>
        <v>-15.81</v>
      </c>
      <c r="R9" s="93">
        <f>D9+Q9</f>
        <v>13.67</v>
      </c>
      <c r="S9" t="s">
        <v>109</v>
      </c>
    </row>
    <row r="10" spans="1:19" x14ac:dyDescent="0.25">
      <c r="A10" s="81" t="s">
        <v>225</v>
      </c>
      <c r="B10" s="81" t="s">
        <v>226</v>
      </c>
      <c r="C10" s="81" t="s">
        <v>227</v>
      </c>
      <c r="D10" s="82">
        <v>0</v>
      </c>
      <c r="E10" s="83"/>
      <c r="F10" s="83"/>
      <c r="G10" s="83"/>
      <c r="H10" s="83"/>
      <c r="I10" s="92">
        <v>5000</v>
      </c>
      <c r="J10" s="92"/>
      <c r="K10" s="92"/>
      <c r="L10" s="83"/>
      <c r="M10" s="83"/>
      <c r="N10" s="83"/>
      <c r="O10" s="83"/>
      <c r="P10" s="83"/>
      <c r="Q10" s="83">
        <v>0</v>
      </c>
      <c r="R10" s="93">
        <v>5000</v>
      </c>
      <c r="S10" t="s">
        <v>229</v>
      </c>
    </row>
    <row r="11" spans="1:19" x14ac:dyDescent="0.25">
      <c r="A11" s="81"/>
      <c r="B11" s="81"/>
      <c r="C11" s="81"/>
      <c r="D11" s="91">
        <f>SUM(D8:D9)</f>
        <v>183.42999999999998</v>
      </c>
      <c r="E11" s="94">
        <f>SUM(E8:E9)</f>
        <v>-129.76</v>
      </c>
      <c r="F11" s="94">
        <f>SUM(F8:F9)</f>
        <v>0</v>
      </c>
      <c r="G11" s="94">
        <f>SUM(G8:G9)</f>
        <v>0</v>
      </c>
      <c r="H11" s="94">
        <f>SUM(H8:H9)</f>
        <v>0</v>
      </c>
      <c r="I11" s="94">
        <f>SUM(I8:I10)</f>
        <v>4886.05</v>
      </c>
      <c r="J11" s="94">
        <f t="shared" ref="J11:R11" si="1">SUM(J8:J9)</f>
        <v>0</v>
      </c>
      <c r="K11" s="94">
        <f t="shared" si="1"/>
        <v>0</v>
      </c>
      <c r="L11" s="94">
        <f t="shared" si="1"/>
        <v>0</v>
      </c>
      <c r="M11" s="94">
        <f t="shared" si="1"/>
        <v>0</v>
      </c>
      <c r="N11" s="94">
        <f t="shared" si="1"/>
        <v>0</v>
      </c>
      <c r="O11" s="94">
        <f t="shared" si="1"/>
        <v>0</v>
      </c>
      <c r="P11" s="94">
        <f t="shared" si="1"/>
        <v>0</v>
      </c>
      <c r="Q11" s="95">
        <f t="shared" si="1"/>
        <v>-243.71</v>
      </c>
      <c r="R11" s="94">
        <f t="shared" si="1"/>
        <v>-60.280000000000015</v>
      </c>
    </row>
    <row r="12" spans="1:19" x14ac:dyDescent="0.25">
      <c r="A12" s="84"/>
      <c r="B12" s="81"/>
      <c r="C12" s="81"/>
      <c r="D12" s="82"/>
      <c r="R12" s="23"/>
    </row>
    <row r="13" spans="1:19" ht="18" x14ac:dyDescent="0.25">
      <c r="A13" s="85"/>
      <c r="B13" s="81"/>
      <c r="C13" s="81"/>
      <c r="D13" s="82"/>
      <c r="R13" s="23"/>
      <c r="S13" s="86"/>
    </row>
    <row r="14" spans="1:19" x14ac:dyDescent="0.25">
      <c r="B14" s="81"/>
      <c r="C14" s="81"/>
      <c r="D14" s="82"/>
      <c r="R14" s="23"/>
    </row>
    <row r="15" spans="1:19" ht="18" x14ac:dyDescent="0.25">
      <c r="A15" s="85"/>
      <c r="R15" s="23"/>
    </row>
    <row r="17" spans="1:1" ht="18" x14ac:dyDescent="0.25">
      <c r="A17" s="85"/>
    </row>
    <row r="19" spans="1:1" ht="18" x14ac:dyDescent="0.25">
      <c r="A19" s="85"/>
    </row>
    <row r="21" spans="1:1" ht="18" x14ac:dyDescent="0.25">
      <c r="A21" s="85"/>
    </row>
    <row r="41" spans="1:18" x14ac:dyDescent="0.25">
      <c r="B41" s="81" t="s">
        <v>110</v>
      </c>
      <c r="C41" s="81"/>
      <c r="D41" s="87">
        <v>425</v>
      </c>
    </row>
    <row r="42" spans="1:18" x14ac:dyDescent="0.25">
      <c r="A42" s="81"/>
      <c r="B42" s="81"/>
      <c r="C42" s="81"/>
      <c r="D42" s="81"/>
    </row>
    <row r="43" spans="1:18" x14ac:dyDescent="0.25">
      <c r="A43" s="81" t="s">
        <v>111</v>
      </c>
      <c r="B43" s="81" t="s">
        <v>112</v>
      </c>
      <c r="C43" s="81"/>
      <c r="D43" s="87">
        <v>250</v>
      </c>
      <c r="R43" s="23">
        <v>0</v>
      </c>
    </row>
    <row r="44" spans="1:18" x14ac:dyDescent="0.25">
      <c r="A44" s="81"/>
      <c r="B44" s="81"/>
      <c r="C44" s="81"/>
      <c r="D44" s="81"/>
      <c r="R44" s="23"/>
    </row>
    <row r="45" spans="1:18" x14ac:dyDescent="0.25">
      <c r="A45" s="81"/>
      <c r="B45" s="81"/>
      <c r="C45" s="81"/>
      <c r="D45" s="82"/>
      <c r="R45" s="23"/>
    </row>
    <row r="46" spans="1:18" x14ac:dyDescent="0.25">
      <c r="A46" s="88" t="s">
        <v>116</v>
      </c>
      <c r="B46" s="81" t="s">
        <v>113</v>
      </c>
      <c r="C46" s="81"/>
      <c r="D46" s="89">
        <v>500</v>
      </c>
      <c r="E46">
        <v>-500</v>
      </c>
      <c r="R46" s="23">
        <v>0</v>
      </c>
    </row>
    <row r="47" spans="1:18" x14ac:dyDescent="0.25">
      <c r="A47" s="90" t="s">
        <v>117</v>
      </c>
      <c r="B47" s="81" t="s">
        <v>114</v>
      </c>
      <c r="C47" s="81"/>
      <c r="D47" s="89">
        <v>15</v>
      </c>
      <c r="E47">
        <v>-15</v>
      </c>
      <c r="R47" s="23">
        <v>0</v>
      </c>
    </row>
  </sheetData>
  <pageMargins left="0.7" right="0.7" top="0.75" bottom="0.75" header="0.3" footer="0.3"/>
  <pageSetup paperSize="9" scale="5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907A5-CCCC-42A0-A833-7069F9F4619C}">
  <sheetPr>
    <pageSetUpPr fitToPage="1"/>
  </sheetPr>
  <dimension ref="A1:O79"/>
  <sheetViews>
    <sheetView topLeftCell="A16" zoomScaleNormal="100" workbookViewId="0">
      <selection activeCell="C31" sqref="C31"/>
    </sheetView>
  </sheetViews>
  <sheetFormatPr defaultColWidth="42.28515625" defaultRowHeight="26.25" x14ac:dyDescent="0.4"/>
  <cols>
    <col min="1" max="4" width="42.28515625" style="99"/>
    <col min="5" max="5" width="42.28515625" style="109"/>
    <col min="6" max="16384" width="42.28515625" style="99"/>
  </cols>
  <sheetData>
    <row r="1" spans="1:15" x14ac:dyDescent="0.4">
      <c r="A1" s="98" t="s">
        <v>129</v>
      </c>
      <c r="B1" s="98"/>
    </row>
    <row r="3" spans="1:15" x14ac:dyDescent="0.4">
      <c r="A3" s="98" t="s">
        <v>130</v>
      </c>
      <c r="B3" s="98" t="s">
        <v>169</v>
      </c>
      <c r="C3" s="98" t="s">
        <v>170</v>
      </c>
      <c r="D3" s="98" t="s">
        <v>171</v>
      </c>
      <c r="J3" s="99" t="s">
        <v>61</v>
      </c>
    </row>
    <row r="4" spans="1:15" x14ac:dyDescent="0.4">
      <c r="A4" s="99" t="s">
        <v>163</v>
      </c>
      <c r="B4" s="99" t="s">
        <v>172</v>
      </c>
      <c r="C4" s="100" t="s">
        <v>173</v>
      </c>
      <c r="D4" s="99" t="s">
        <v>80</v>
      </c>
      <c r="E4" s="115">
        <v>48.67</v>
      </c>
    </row>
    <row r="5" spans="1:15" x14ac:dyDescent="0.4">
      <c r="A5" s="99" t="s">
        <v>165</v>
      </c>
      <c r="B5" s="99" t="s">
        <v>174</v>
      </c>
      <c r="C5" s="99" t="s">
        <v>175</v>
      </c>
      <c r="D5" s="99" t="s">
        <v>176</v>
      </c>
      <c r="E5" s="115">
        <v>55.91</v>
      </c>
      <c r="G5" s="101"/>
      <c r="O5" s="102"/>
    </row>
    <row r="6" spans="1:15" x14ac:dyDescent="0.4">
      <c r="A6" s="99" t="s">
        <v>166</v>
      </c>
      <c r="B6" s="99" t="s">
        <v>177</v>
      </c>
      <c r="C6" s="103" t="s">
        <v>178</v>
      </c>
      <c r="D6" s="99" t="s">
        <v>179</v>
      </c>
      <c r="E6" s="115">
        <v>3.17</v>
      </c>
      <c r="G6" s="104"/>
    </row>
    <row r="7" spans="1:15" x14ac:dyDescent="0.4">
      <c r="A7" s="99" t="s">
        <v>164</v>
      </c>
      <c r="C7" s="99" t="s">
        <v>180</v>
      </c>
      <c r="E7" s="115">
        <v>-1.72</v>
      </c>
      <c r="F7" s="99" t="s">
        <v>181</v>
      </c>
      <c r="M7" s="105"/>
      <c r="O7" s="106"/>
    </row>
    <row r="8" spans="1:15" x14ac:dyDescent="0.4">
      <c r="A8" s="99" t="s">
        <v>167</v>
      </c>
      <c r="B8" s="99" t="s">
        <v>182</v>
      </c>
      <c r="C8" s="103" t="s">
        <v>183</v>
      </c>
      <c r="D8" s="100" t="s">
        <v>184</v>
      </c>
      <c r="E8" s="115">
        <v>1.68</v>
      </c>
      <c r="O8" s="106"/>
    </row>
    <row r="9" spans="1:15" x14ac:dyDescent="0.4">
      <c r="E9" s="116"/>
      <c r="F9" s="107">
        <f>SUM(E4:E8)</f>
        <v>107.71000000000001</v>
      </c>
      <c r="G9" s="99" t="s">
        <v>62</v>
      </c>
      <c r="J9" s="107">
        <f>'[1]Monthly monitoring &amp; reconcilia'!C58-F9</f>
        <v>0</v>
      </c>
      <c r="K9" s="107">
        <f>F9</f>
        <v>107.71000000000001</v>
      </c>
      <c r="O9" s="106"/>
    </row>
    <row r="10" spans="1:15" x14ac:dyDescent="0.4">
      <c r="A10" s="98" t="s">
        <v>131</v>
      </c>
      <c r="B10" s="98"/>
      <c r="O10" s="108"/>
    </row>
    <row r="11" spans="1:15" x14ac:dyDescent="0.4">
      <c r="A11" s="99" t="s">
        <v>185</v>
      </c>
      <c r="B11" s="99" t="s">
        <v>186</v>
      </c>
      <c r="C11" s="99" t="s">
        <v>187</v>
      </c>
      <c r="D11" s="99" t="s">
        <v>188</v>
      </c>
      <c r="E11" s="117">
        <v>10.7</v>
      </c>
      <c r="O11" s="106"/>
    </row>
    <row r="12" spans="1:15" x14ac:dyDescent="0.4">
      <c r="A12" s="99" t="s">
        <v>189</v>
      </c>
      <c r="B12" s="99" t="s">
        <v>186</v>
      </c>
      <c r="C12" s="99" t="s">
        <v>190</v>
      </c>
      <c r="D12" s="99" t="s">
        <v>191</v>
      </c>
      <c r="E12" s="117">
        <v>3.8</v>
      </c>
      <c r="O12" s="106"/>
    </row>
    <row r="13" spans="1:15" x14ac:dyDescent="0.4">
      <c r="A13" s="99" t="s">
        <v>192</v>
      </c>
      <c r="B13" s="99" t="s">
        <v>193</v>
      </c>
      <c r="C13" s="99" t="s">
        <v>194</v>
      </c>
      <c r="D13" s="99" t="s">
        <v>195</v>
      </c>
      <c r="E13" s="117">
        <f>22.26-1.33</f>
        <v>20.93</v>
      </c>
      <c r="O13" s="106"/>
    </row>
    <row r="14" spans="1:15" x14ac:dyDescent="0.4">
      <c r="A14" s="99" t="s">
        <v>196</v>
      </c>
      <c r="B14" s="99" t="s">
        <v>197</v>
      </c>
      <c r="C14" s="103" t="s">
        <v>178</v>
      </c>
      <c r="D14" s="99" t="s">
        <v>198</v>
      </c>
      <c r="E14" s="117">
        <v>56.5</v>
      </c>
      <c r="O14" s="106"/>
    </row>
    <row r="15" spans="1:15" x14ac:dyDescent="0.4">
      <c r="A15" s="99" t="s">
        <v>196</v>
      </c>
      <c r="B15" s="99" t="s">
        <v>197</v>
      </c>
      <c r="C15" s="103" t="s">
        <v>178</v>
      </c>
      <c r="D15" s="99" t="s">
        <v>203</v>
      </c>
      <c r="E15" s="117">
        <f>6.48+1.33</f>
        <v>7.8100000000000005</v>
      </c>
      <c r="O15" s="106"/>
    </row>
    <row r="16" spans="1:15" x14ac:dyDescent="0.4">
      <c r="A16" s="99" t="s">
        <v>199</v>
      </c>
      <c r="B16" s="99" t="s">
        <v>200</v>
      </c>
      <c r="C16" s="103" t="s">
        <v>201</v>
      </c>
      <c r="D16" s="100" t="s">
        <v>202</v>
      </c>
      <c r="E16" s="117">
        <v>58</v>
      </c>
      <c r="O16" s="106"/>
    </row>
    <row r="17" spans="1:15" x14ac:dyDescent="0.4">
      <c r="A17" s="99" t="s">
        <v>167</v>
      </c>
      <c r="C17" s="103" t="s">
        <v>183</v>
      </c>
      <c r="D17" s="100" t="s">
        <v>184</v>
      </c>
      <c r="E17" s="117">
        <v>1.68</v>
      </c>
      <c r="O17" s="106"/>
    </row>
    <row r="18" spans="1:15" x14ac:dyDescent="0.4">
      <c r="E18" s="116"/>
      <c r="F18" s="107">
        <f>SUM(E11:E16)</f>
        <v>157.74</v>
      </c>
      <c r="G18" s="99" t="s">
        <v>62</v>
      </c>
      <c r="J18" s="107">
        <f>'[1]Monthly monitoring &amp; reconcilia'!D58-F18</f>
        <v>1.3299999999999841</v>
      </c>
      <c r="K18" s="107">
        <f>F18</f>
        <v>157.74</v>
      </c>
      <c r="O18" s="106"/>
    </row>
    <row r="19" spans="1:15" x14ac:dyDescent="0.4">
      <c r="A19" s="98" t="s">
        <v>132</v>
      </c>
      <c r="B19" s="98"/>
    </row>
    <row r="20" spans="1:15" x14ac:dyDescent="0.4">
      <c r="A20" s="99" t="s">
        <v>167</v>
      </c>
      <c r="B20" s="99" t="s">
        <v>204</v>
      </c>
      <c r="C20" s="103" t="s">
        <v>183</v>
      </c>
      <c r="D20" s="99" t="s">
        <v>184</v>
      </c>
      <c r="E20" s="117">
        <v>1.68</v>
      </c>
    </row>
    <row r="21" spans="1:15" x14ac:dyDescent="0.4">
      <c r="E21" s="116">
        <v>1.68</v>
      </c>
      <c r="F21" s="107">
        <f>SUM(E20:E20)</f>
        <v>1.68</v>
      </c>
      <c r="G21" s="99" t="s">
        <v>62</v>
      </c>
      <c r="J21" s="107">
        <f>'[1]Monthly monitoring &amp; reconcilia'!E58-F21</f>
        <v>-1.68</v>
      </c>
      <c r="K21" s="107">
        <f>F21</f>
        <v>1.68</v>
      </c>
    </row>
    <row r="22" spans="1:15" x14ac:dyDescent="0.4">
      <c r="A22" s="98" t="s">
        <v>133</v>
      </c>
    </row>
    <row r="23" spans="1:15" x14ac:dyDescent="0.4">
      <c r="A23" s="99" t="s">
        <v>196</v>
      </c>
      <c r="B23" s="99" t="s">
        <v>208</v>
      </c>
      <c r="C23" s="103" t="s">
        <v>178</v>
      </c>
      <c r="D23" s="99" t="s">
        <v>209</v>
      </c>
      <c r="E23" s="117">
        <v>9.8699999999999992</v>
      </c>
    </row>
    <row r="24" spans="1:15" x14ac:dyDescent="0.4">
      <c r="A24" s="99" t="s">
        <v>167</v>
      </c>
      <c r="B24" s="99" t="s">
        <v>210</v>
      </c>
      <c r="C24" s="103" t="s">
        <v>183</v>
      </c>
      <c r="D24" s="99" t="s">
        <v>184</v>
      </c>
      <c r="E24" s="119">
        <v>1.68</v>
      </c>
    </row>
    <row r="25" spans="1:15" x14ac:dyDescent="0.4">
      <c r="E25" s="116"/>
      <c r="F25" s="106">
        <f>SUM(E23:E24)</f>
        <v>11.549999999999999</v>
      </c>
      <c r="G25" s="99" t="s">
        <v>62</v>
      </c>
      <c r="J25" s="107">
        <f>'[1]Monthly monitoring &amp; reconcilia'!F58-F25</f>
        <v>-11.549999999999999</v>
      </c>
      <c r="K25" s="107">
        <f>F25</f>
        <v>11.549999999999999</v>
      </c>
    </row>
    <row r="26" spans="1:15" x14ac:dyDescent="0.4">
      <c r="A26" s="98" t="s">
        <v>134</v>
      </c>
      <c r="B26" s="98"/>
    </row>
    <row r="27" spans="1:15" x14ac:dyDescent="0.4">
      <c r="A27" s="99" t="s">
        <v>211</v>
      </c>
      <c r="B27" s="99" t="s">
        <v>212</v>
      </c>
      <c r="C27" s="103" t="s">
        <v>201</v>
      </c>
      <c r="D27" s="99" t="s">
        <v>213</v>
      </c>
      <c r="E27" s="117">
        <v>7.2</v>
      </c>
    </row>
    <row r="28" spans="1:15" x14ac:dyDescent="0.4">
      <c r="A28" s="99" t="s">
        <v>214</v>
      </c>
      <c r="B28" s="99" t="s">
        <v>215</v>
      </c>
      <c r="C28" s="99" t="s">
        <v>216</v>
      </c>
      <c r="D28" s="99" t="s">
        <v>93</v>
      </c>
      <c r="E28" s="117">
        <v>168.43</v>
      </c>
    </row>
    <row r="29" spans="1:15" x14ac:dyDescent="0.4">
      <c r="A29" s="99" t="s">
        <v>217</v>
      </c>
      <c r="B29" s="99" t="s">
        <v>218</v>
      </c>
      <c r="C29" s="99" t="s">
        <v>219</v>
      </c>
      <c r="D29" s="99" t="s">
        <v>220</v>
      </c>
      <c r="E29" s="117">
        <v>103</v>
      </c>
    </row>
    <row r="30" spans="1:15" x14ac:dyDescent="0.4">
      <c r="A30" s="99" t="s">
        <v>221</v>
      </c>
      <c r="B30" s="99" t="s">
        <v>222</v>
      </c>
      <c r="C30" s="99" t="s">
        <v>223</v>
      </c>
      <c r="D30" s="99" t="s">
        <v>224</v>
      </c>
      <c r="E30" s="117">
        <v>24.8</v>
      </c>
    </row>
    <row r="31" spans="1:15" x14ac:dyDescent="0.4">
      <c r="A31" s="99" t="s">
        <v>167</v>
      </c>
      <c r="B31" s="99" t="s">
        <v>228</v>
      </c>
      <c r="C31" s="103" t="s">
        <v>183</v>
      </c>
      <c r="D31" s="99" t="s">
        <v>184</v>
      </c>
      <c r="E31" s="119">
        <v>1.68</v>
      </c>
    </row>
    <row r="32" spans="1:15" x14ac:dyDescent="0.4">
      <c r="E32" s="116"/>
      <c r="F32" s="106">
        <f>SUM(E27:E31)</f>
        <v>305.11</v>
      </c>
      <c r="G32" s="99" t="s">
        <v>62</v>
      </c>
      <c r="J32" s="107">
        <f>'[1]Monthly monitoring &amp; reconcilia'!G58-F32</f>
        <v>-305.11</v>
      </c>
      <c r="K32" s="107">
        <f>F32</f>
        <v>305.11</v>
      </c>
    </row>
    <row r="34" spans="1:11" x14ac:dyDescent="0.4">
      <c r="B34" s="98"/>
    </row>
    <row r="35" spans="1:11" x14ac:dyDescent="0.4">
      <c r="A35" s="98" t="s">
        <v>135</v>
      </c>
      <c r="B35" s="98"/>
      <c r="E35" s="117"/>
    </row>
    <row r="36" spans="1:11" x14ac:dyDescent="0.4">
      <c r="A36" s="98"/>
      <c r="E36" s="117"/>
    </row>
    <row r="37" spans="1:11" x14ac:dyDescent="0.4">
      <c r="E37" s="117"/>
    </row>
    <row r="38" spans="1:11" x14ac:dyDescent="0.4">
      <c r="F38" s="107">
        <f>SUM(E35:E37)</f>
        <v>0</v>
      </c>
      <c r="G38" s="99" t="s">
        <v>62</v>
      </c>
      <c r="J38" s="107">
        <f>'[1]Monthly monitoring &amp; reconcilia'!H58-F38</f>
        <v>0</v>
      </c>
      <c r="K38" s="107">
        <f>F38</f>
        <v>0</v>
      </c>
    </row>
    <row r="40" spans="1:11" x14ac:dyDescent="0.4">
      <c r="B40" s="98"/>
    </row>
    <row r="41" spans="1:11" x14ac:dyDescent="0.4">
      <c r="A41" s="98" t="s">
        <v>136</v>
      </c>
      <c r="C41" s="106"/>
      <c r="D41" s="106"/>
      <c r="E41" s="117"/>
    </row>
    <row r="42" spans="1:11" x14ac:dyDescent="0.4">
      <c r="E42" s="117"/>
    </row>
    <row r="43" spans="1:11" x14ac:dyDescent="0.4">
      <c r="E43" s="117"/>
    </row>
    <row r="44" spans="1:11" x14ac:dyDescent="0.4">
      <c r="E44" s="117"/>
    </row>
    <row r="45" spans="1:11" x14ac:dyDescent="0.4">
      <c r="B45" s="105"/>
      <c r="E45" s="117"/>
    </row>
    <row r="46" spans="1:11" x14ac:dyDescent="0.4">
      <c r="A46" s="105"/>
      <c r="E46" s="116"/>
      <c r="F46" s="109">
        <f>SUM(E41:E45)</f>
        <v>0</v>
      </c>
      <c r="G46" s="99" t="s">
        <v>62</v>
      </c>
      <c r="J46" s="107">
        <f>'[1]Monthly monitoring &amp; reconcilia'!I58-F46</f>
        <v>0</v>
      </c>
      <c r="K46" s="107">
        <f>F46</f>
        <v>0</v>
      </c>
    </row>
    <row r="48" spans="1:11" x14ac:dyDescent="0.4">
      <c r="B48" s="98"/>
    </row>
    <row r="49" spans="1:13" x14ac:dyDescent="0.4">
      <c r="A49" s="98" t="s">
        <v>137</v>
      </c>
      <c r="B49" s="110"/>
      <c r="E49" s="123"/>
    </row>
    <row r="50" spans="1:13" x14ac:dyDescent="0.4">
      <c r="A50" s="110"/>
      <c r="E50" s="123"/>
    </row>
    <row r="51" spans="1:13" x14ac:dyDescent="0.4">
      <c r="B51" s="98"/>
      <c r="E51" s="123"/>
    </row>
    <row r="52" spans="1:13" x14ac:dyDescent="0.4">
      <c r="A52" s="98"/>
      <c r="F52" s="107">
        <f>SUM(E49:E51)</f>
        <v>0</v>
      </c>
      <c r="G52" s="99" t="s">
        <v>62</v>
      </c>
      <c r="J52" s="107">
        <f>'[1]Monthly monitoring &amp; reconcilia'!J58-F52</f>
        <v>0</v>
      </c>
      <c r="K52" s="107">
        <f>F52</f>
        <v>0</v>
      </c>
    </row>
    <row r="54" spans="1:13" x14ac:dyDescent="0.4">
      <c r="B54" s="98"/>
    </row>
    <row r="55" spans="1:13" x14ac:dyDescent="0.4">
      <c r="A55" s="98" t="s">
        <v>138</v>
      </c>
      <c r="B55" s="110"/>
    </row>
    <row r="56" spans="1:13" x14ac:dyDescent="0.4">
      <c r="A56" s="110"/>
      <c r="B56" s="110"/>
    </row>
    <row r="57" spans="1:13" x14ac:dyDescent="0.4">
      <c r="A57" s="110"/>
      <c r="E57" s="118"/>
      <c r="F57" s="107">
        <f>SUM(E55:E56)</f>
        <v>0</v>
      </c>
      <c r="G57" s="99" t="s">
        <v>62</v>
      </c>
      <c r="J57" s="107">
        <f>'[1]Monthly monitoring &amp; reconcilia'!K58-F57</f>
        <v>0</v>
      </c>
      <c r="K57" s="107">
        <f>F57</f>
        <v>0</v>
      </c>
      <c r="M57" s="107">
        <f>SUM(K9:K57)</f>
        <v>583.79000000000008</v>
      </c>
    </row>
    <row r="58" spans="1:13" x14ac:dyDescent="0.4">
      <c r="C58" s="101"/>
      <c r="D58" s="101"/>
      <c r="F58" s="107"/>
    </row>
    <row r="59" spans="1:13" x14ac:dyDescent="0.4">
      <c r="B59" s="98"/>
      <c r="F59" s="107"/>
    </row>
    <row r="60" spans="1:13" x14ac:dyDescent="0.4">
      <c r="A60" s="98" t="s">
        <v>139</v>
      </c>
      <c r="B60" s="98"/>
      <c r="E60" s="117"/>
      <c r="F60" s="107"/>
    </row>
    <row r="61" spans="1:13" x14ac:dyDescent="0.4">
      <c r="A61" s="98"/>
      <c r="B61" s="98"/>
      <c r="E61" s="117"/>
      <c r="F61" s="107"/>
    </row>
    <row r="62" spans="1:13" x14ac:dyDescent="0.4">
      <c r="A62" s="98"/>
      <c r="E62" s="119"/>
      <c r="F62" s="107"/>
    </row>
    <row r="63" spans="1:13" x14ac:dyDescent="0.4">
      <c r="F63" s="107">
        <f>SUM(E60:E62)</f>
        <v>0</v>
      </c>
      <c r="G63" s="99" t="s">
        <v>62</v>
      </c>
      <c r="J63" s="107">
        <f>'[1]Monthly monitoring &amp; reconcilia'!L58-F63</f>
        <v>0</v>
      </c>
      <c r="K63" s="106">
        <f>F63</f>
        <v>0</v>
      </c>
      <c r="M63" s="107">
        <f>SUM(K9:K63)</f>
        <v>583.79000000000008</v>
      </c>
    </row>
    <row r="65" spans="1:13" x14ac:dyDescent="0.4">
      <c r="B65" s="98"/>
      <c r="F65" s="107"/>
      <c r="K65" s="111"/>
    </row>
    <row r="66" spans="1:13" x14ac:dyDescent="0.4">
      <c r="A66" s="98" t="s">
        <v>140</v>
      </c>
      <c r="B66" s="112"/>
      <c r="C66" s="110"/>
      <c r="D66" s="110"/>
      <c r="E66" s="120"/>
      <c r="F66" s="107"/>
    </row>
    <row r="67" spans="1:13" x14ac:dyDescent="0.4">
      <c r="A67" s="112"/>
      <c r="B67" s="112"/>
      <c r="C67" s="110"/>
      <c r="D67" s="110"/>
      <c r="E67" s="121"/>
      <c r="F67" s="107"/>
    </row>
    <row r="68" spans="1:13" x14ac:dyDescent="0.4">
      <c r="A68" s="112"/>
      <c r="B68" s="112"/>
      <c r="C68" s="112"/>
      <c r="D68" s="112"/>
      <c r="E68" s="121"/>
      <c r="F68" s="107"/>
    </row>
    <row r="69" spans="1:13" x14ac:dyDescent="0.4">
      <c r="A69" s="112"/>
      <c r="B69" s="98"/>
      <c r="E69" s="116"/>
      <c r="F69" s="107">
        <f>SUM(E66:E68)</f>
        <v>0</v>
      </c>
      <c r="G69" s="99" t="s">
        <v>62</v>
      </c>
      <c r="J69" s="107">
        <f>'[1]Monthly monitoring &amp; reconcilia'!M58-F69</f>
        <v>0</v>
      </c>
      <c r="K69" s="107">
        <f>F69</f>
        <v>0</v>
      </c>
    </row>
    <row r="70" spans="1:13" x14ac:dyDescent="0.4">
      <c r="A70" s="98"/>
      <c r="B70" s="98"/>
      <c r="F70" s="107"/>
    </row>
    <row r="71" spans="1:13" x14ac:dyDescent="0.4">
      <c r="A71" s="98"/>
      <c r="B71" s="98"/>
      <c r="F71" s="107"/>
      <c r="M71" s="113"/>
    </row>
    <row r="72" spans="1:13" x14ac:dyDescent="0.4">
      <c r="A72" s="98" t="s">
        <v>141</v>
      </c>
      <c r="B72" s="112"/>
      <c r="E72" s="117"/>
      <c r="F72" s="107"/>
    </row>
    <row r="73" spans="1:13" x14ac:dyDescent="0.4">
      <c r="A73" s="112"/>
      <c r="B73" s="110"/>
      <c r="E73" s="117"/>
      <c r="F73" s="107"/>
    </row>
    <row r="74" spans="1:13" x14ac:dyDescent="0.4">
      <c r="A74" s="110"/>
      <c r="B74" s="112"/>
      <c r="C74" s="107"/>
      <c r="D74" s="107"/>
      <c r="E74" s="117"/>
      <c r="F74" s="107"/>
    </row>
    <row r="75" spans="1:13" x14ac:dyDescent="0.4">
      <c r="A75" s="112"/>
      <c r="B75" s="110"/>
      <c r="E75" s="122"/>
      <c r="F75" s="107"/>
    </row>
    <row r="76" spans="1:13" x14ac:dyDescent="0.4">
      <c r="A76" s="110"/>
      <c r="E76" s="117"/>
      <c r="F76" s="107">
        <f>SUM(E72:E75)</f>
        <v>0</v>
      </c>
      <c r="G76" s="99" t="s">
        <v>62</v>
      </c>
      <c r="J76" s="107">
        <f>'[1]Monthly monitoring &amp; reconcilia'!N58-F76</f>
        <v>0</v>
      </c>
      <c r="K76" s="107">
        <f>F76</f>
        <v>0</v>
      </c>
    </row>
    <row r="77" spans="1:13" x14ac:dyDescent="0.4">
      <c r="E77" s="117"/>
      <c r="F77" s="107"/>
    </row>
    <row r="79" spans="1:13" x14ac:dyDescent="0.4">
      <c r="F79" s="114">
        <f>SUM(F9:F78)</f>
        <v>583.79000000000008</v>
      </c>
      <c r="G79" s="99" t="s">
        <v>63</v>
      </c>
    </row>
  </sheetData>
  <pageMargins left="0.7" right="0.7" top="0.75" bottom="0.75" header="0.3" footer="0.3"/>
  <pageSetup paperSize="9" scale="5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 monitoring &amp; reconcilia</vt:lpstr>
      <vt:lpstr>Reserves</vt:lpstr>
      <vt:lpstr>GRANT MOVEMENTS</vt:lpstr>
      <vt:lpstr>VAT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Whitehead</dc:creator>
  <cp:lastModifiedBy>Maggie Burt</cp:lastModifiedBy>
  <cp:lastPrinted>2026-04-20T09:23:22Z</cp:lastPrinted>
  <dcterms:created xsi:type="dcterms:W3CDTF">2024-04-30T16:33:23Z</dcterms:created>
  <dcterms:modified xsi:type="dcterms:W3CDTF">2026-09-03T10:16:37Z</dcterms:modified>
</cp:coreProperties>
</file>