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24" documentId="8_{56633E37-89E8-4240-8701-80F2A8FCF51E}" xr6:coauthVersionLast="47" xr6:coauthVersionMax="47" xr10:uidLastSave="{1CC4F9EC-75B8-4A10-A3C2-F85A9DFA0250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Sheet1" sheetId="5" r:id="rId3"/>
    <sheet name="RESERVES RECONCILIATION" sheetId="4" r:id="rId4"/>
    <sheet name="VA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22" i="3"/>
  <c r="D47" i="1"/>
  <c r="F45" i="1"/>
  <c r="F22" i="1"/>
  <c r="F54" i="1"/>
  <c r="F30" i="1"/>
  <c r="D22" i="3"/>
  <c r="E54" i="1"/>
  <c r="D28" i="3"/>
  <c r="D54" i="1"/>
  <c r="D16" i="2"/>
  <c r="D22" i="1"/>
  <c r="D13" i="1"/>
  <c r="D30" i="1" l="1"/>
  <c r="B22" i="3"/>
  <c r="B28" i="3"/>
  <c r="C10" i="3"/>
  <c r="C30" i="1"/>
  <c r="C43" i="1"/>
  <c r="C78" i="1"/>
  <c r="C77" i="1"/>
  <c r="C54" i="1"/>
  <c r="C33" i="1"/>
  <c r="C22" i="1"/>
  <c r="C29" i="1"/>
  <c r="C36" i="1"/>
  <c r="C47" i="1"/>
  <c r="C21" i="1"/>
  <c r="C17" i="1"/>
  <c r="C13" i="1"/>
  <c r="O20" i="1"/>
  <c r="O19" i="1"/>
  <c r="O18" i="1"/>
  <c r="B20" i="1"/>
  <c r="D91" i="2"/>
  <c r="D66" i="1" l="1"/>
  <c r="E66" i="1"/>
  <c r="F66" i="1"/>
  <c r="G66" i="1"/>
  <c r="H66" i="1"/>
  <c r="I66" i="1"/>
  <c r="J66" i="1"/>
  <c r="K66" i="1"/>
  <c r="L66" i="1"/>
  <c r="M66" i="1"/>
  <c r="N66" i="1"/>
  <c r="H91" i="2"/>
  <c r="D74" i="2"/>
  <c r="O32" i="1"/>
  <c r="P32" i="1" s="1"/>
  <c r="H74" i="2" l="1"/>
  <c r="O46" i="1" l="1"/>
  <c r="P46" i="1" s="1"/>
  <c r="O22" i="3"/>
  <c r="O12" i="1"/>
  <c r="P12" i="1" s="1"/>
  <c r="D55" i="2"/>
  <c r="H55" i="2" l="1"/>
  <c r="D46" i="2"/>
  <c r="D29" i="2"/>
  <c r="O24" i="1"/>
  <c r="P24" i="1" s="1"/>
  <c r="H46" i="2" l="1"/>
  <c r="H29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22" i="2"/>
  <c r="O44" i="1"/>
  <c r="P44" i="1" s="1"/>
  <c r="O39" i="1"/>
  <c r="P39" i="1" s="1"/>
  <c r="D9" i="2"/>
  <c r="H9" i="2" s="1"/>
  <c r="O40" i="1"/>
  <c r="O41" i="1"/>
  <c r="P41" i="1" s="1"/>
  <c r="O42" i="1"/>
  <c r="O9" i="1"/>
  <c r="O10" i="1"/>
  <c r="C66" i="1"/>
  <c r="O11" i="1"/>
  <c r="P11" i="1" s="1"/>
  <c r="O17" i="1" l="1"/>
  <c r="O10" i="3"/>
  <c r="H22" i="2"/>
  <c r="H16" i="2"/>
  <c r="D26" i="3"/>
  <c r="D30" i="3" s="1"/>
  <c r="O45" i="1"/>
  <c r="P45" i="1" s="1"/>
  <c r="D83" i="2"/>
  <c r="D68" i="2"/>
  <c r="D61" i="2"/>
  <c r="D38" i="2"/>
  <c r="H83" i="2" l="1"/>
  <c r="O26" i="3"/>
  <c r="O30" i="3" s="1"/>
  <c r="H68" i="2"/>
  <c r="H38" i="2"/>
  <c r="H61" i="2"/>
  <c r="D94" i="2"/>
  <c r="K74" i="2" l="1"/>
  <c r="K68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P27" i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54" i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tc={52E18EF6-09E4-4972-821D-266964788778}</author>
    <author>tc={5399AD24-5375-470D-9D60-C2B9CB464BA6}</author>
    <author>tc={EF882114-D928-4082-9F18-A7AB5E66FA18}</author>
  </authors>
  <commentList>
    <comment ref="F22" authorId="0" shapeId="0" xr:uid="{52E18EF6-09E4-4972-821D-26696478877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PC Hard Drive</t>
      </text>
    </comment>
    <comment ref="Q24" authorId="1" shapeId="0" xr:uid="{5399AD24-5375-470D-9D60-C2B9CB464BA6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Localities Grant</t>
      </text>
    </comment>
    <comment ref="Q47" authorId="2" shapeId="0" xr:uid="{EF882114-D928-4082-9F18-A7AB5E66FA18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UTB costs for benches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B18" authorId="0" shapeId="0" xr:uid="{A8724F26-9ADD-404B-B128-D06FD59ACE56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Transferred to General Reserve</t>
        </r>
      </text>
    </comment>
    <comment ref="D28" authorId="0" shapeId="0" xr:uid="{B55FD089-5332-4CAC-A4F6-A7AF226466FE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Includes Street Lghting Reserve and YE profit</t>
        </r>
      </text>
    </comment>
  </commentList>
</comments>
</file>

<file path=xl/sharedStrings.xml><?xml version="1.0" encoding="utf-8"?>
<sst xmlns="http://schemas.openxmlformats.org/spreadsheetml/2006/main" count="185" uniqueCount="147">
  <si>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</si>
  <si>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</si>
  <si>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</si>
  <si>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</si>
  <si>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</si>
  <si>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</si>
  <si>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</si>
  <si>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</si>
  <si>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</si>
  <si>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</si>
  <si>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</si>
  <si>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</si>
  <si>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</si>
  <si>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</si>
  <si>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</si>
  <si>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</si>
  <si>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</si>
  <si>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</si>
  <si>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</si>
  <si>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</si>
  <si>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</si>
  <si>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</si>
  <si>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</si>
  <si>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</si>
  <si>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</si>
  <si>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</si>
  <si>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</si>
  <si>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</si>
  <si>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</si>
  <si>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</si>
  <si>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</si>
  <si>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</si>
  <si>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</si>
  <si>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</si>
  <si>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</si>
  <si>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</si>
  <si>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</si>
  <si>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</si>
  <si>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</si>
  <si>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</si>
  <si>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</si>
  <si>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</si>
  <si>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</si>
  <si>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</si>
  <si>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</si>
  <si>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</si>
  <si>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</si>
  <si>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</si>
  <si>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</si>
  <si>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</si>
  <si>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</si>
  <si>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</si>
  <si>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</si>
  <si>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</si>
  <si>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</si>
  <si>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</si>
  <si>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</si>
  <si>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</si>
  <si>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</si>
  <si>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</si>
  <si>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</si>
  <si>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</si>
  <si>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</si>
  <si>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</si>
  <si>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</si>
  <si>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</si>
  <si>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</si>
  <si>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</si>
  <si>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</si>
  <si>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</si>
  <si>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</si>
  <si>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</si>
  <si>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</si>
  <si>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</si>
  <si>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</si>
  <si>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</si>
  <si>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</si>
  <si>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</si>
  <si>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</si>
  <si>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</si>
  <si>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</si>
  <si>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</si>
  <si>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</si>
  <si>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</si>
  <si>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</si>
  <si>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</si>
  <si>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</si>
  <si>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</si>
  <si>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</si>
  <si>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</si>
  <si>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</si>
  <si>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</si>
  <si>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</si>
  <si>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</si>
  <si>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</si>
  <si>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</si>
  <si>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</si>
  <si>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</si>
  <si>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</si>
  <si>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</si>
  <si>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</si>
  <si>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</si>
  <si>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</si>
  <si>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</si>
  <si>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</si>
  <si>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</si>
  <si>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</si>
  <si>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</si>
  <si>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</si>
  <si>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</si>
  <si>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</si>
  <si>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</si>
  <si>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</si>
  <si>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</si>
  <si>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</si>
  <si>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</si>
  <si>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</si>
  <si>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</si>
  <si>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</si>
  <si>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</si>
  <si>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</si>
  <si>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</si>
  <si>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</si>
  <si>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</si>
  <si>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</si>
  <si>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</si>
  <si>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</si>
  <si>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</si>
  <si>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</si>
  <si>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</si>
  <si>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</si>
  <si>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</si>
  <si>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</si>
  <si>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</si>
  <si>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</si>
  <si>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</si>
  <si>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</si>
  <si>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</si>
  <si>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Clerk's salary (general duties)</t>
  </si>
  <si>
    <t>Amazon (Stationery)</t>
  </si>
  <si>
    <t>Amazon (Screw heads)</t>
  </si>
  <si>
    <t>UK Safety Store</t>
  </si>
  <si>
    <t>SALC (Training)</t>
  </si>
  <si>
    <t>Clarkes of Walsham</t>
  </si>
  <si>
    <t>SALC (Audit)</t>
  </si>
  <si>
    <t>Eastwood Tree Svs</t>
  </si>
  <si>
    <t>Lloyds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</si>
</sst>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1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2" fillId="0" borderId="0" xfId="1" applyFont="1"/>
    <xf numFmtId="43" fontId="13" fillId="0" borderId="0" xfId="1" applyFont="1"/>
    <xf numFmtId="43" fontId="13" fillId="0" borderId="0" xfId="1" applyFont="1" applyFill="1"/>
    <xf numFmtId="43" fontId="13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2" xfId="0" applyNumberFormat="1" applyBorder="1"/>
    <xf numFmtId="0" fontId="14" fillId="0" borderId="0" xfId="0" applyFont="1"/>
    <xf numFmtId="43" fontId="0" fillId="0" borderId="0" xfId="1" applyFont="1" applyBorder="1" applyAlignment="1">
      <alignment horizontal="right"/>
    </xf>
    <xf numFmtId="43" fontId="8" fillId="0" borderId="3" xfId="1" applyFont="1" applyBorder="1"/>
    <xf numFmtId="0" fontId="2" fillId="0" borderId="0" xfId="0" applyFont="1"/>
    <xf numFmtId="2" fontId="0" fillId="0" borderId="0" xfId="0" applyNumberFormat="1" applyAlignment="1">
      <alignment vertical="top" wrapText="1"/>
    </xf>
    <xf numFmtId="2" fontId="8" fillId="0" borderId="0" xfId="1" applyNumberFormat="1" applyFont="1"/>
    <xf numFmtId="2" fontId="0" fillId="0" borderId="9" xfId="0" applyNumberFormat="1" applyBorder="1"/>
    <xf numFmtId="2" fontId="1" fillId="0" borderId="0" xfId="1" applyNumberFormat="1" applyFont="1"/>
    <xf numFmtId="2" fontId="1" fillId="0" borderId="10" xfId="1" applyNumberFormat="1" applyFont="1" applyBorder="1"/>
    <xf numFmtId="2" fontId="1" fillId="0" borderId="0" xfId="1" applyNumberFormat="1" applyFont="1" applyAlignment="1">
      <alignment vertical="top" wrapText="1"/>
    </xf>
    <xf numFmtId="2" fontId="1" fillId="0" borderId="0" xfId="1" applyNumberFormat="1" applyFont="1" applyAlignment="1">
      <alignment vertical="top"/>
    </xf>
    <xf numFmtId="2" fontId="1" fillId="0" borderId="0" xfId="1" applyNumberFormat="1" applyFont="1" applyFill="1"/>
    <xf numFmtId="2" fontId="1" fillId="0" borderId="0" xfId="1" applyNumberFormat="1" applyFont="1" applyBorder="1"/>
    <xf numFmtId="165" fontId="3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D90A2464-5FA1-4C23-847E-9840378ED707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2" dT="2025-08-02T09:16:18.52" personId="{D90A2464-5FA1-4C23-847E-9840378ED707}" id="{52E18EF6-09E4-4972-821D-266964788778}">
    <text>Includes PC Hard Drive</text>
  </threadedComment>
  <threadedComment ref="Q24" dT="2025-08-18T13:27:48.51" personId="{D90A2464-5FA1-4C23-847E-9840378ED707}" id="{5399AD24-5375-470D-9D60-C2B9CB464BA6}">
    <text>Move to Localities Grant</text>
  </threadedComment>
  <threadedComment ref="Q47" dT="2025-08-18T13:26:16.11" personId="{D90A2464-5FA1-4C23-847E-9840378ED707}" id="{EF882114-D928-4082-9F18-A7AB5E66FA18}">
    <text>Add UTB costs for benches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abSelected="1" topLeftCell="A54" zoomScale="88" zoomScaleNormal="88" workbookViewId="0">
      <selection activeCell="O69" sqref="O69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hidden="1" customWidth="1"/>
    <col min="8" max="8" width="12.28515625" hidden="1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94</v>
      </c>
    </row>
    <row r="3" spans="1:18" x14ac:dyDescent="0.25">
      <c r="B3" t="s">
        <v>0</v>
      </c>
      <c r="C3" s="3"/>
      <c r="N3" s="4"/>
      <c r="O3" s="7" t="s">
        <v>92</v>
      </c>
      <c r="P3" s="53" t="s">
        <v>1</v>
      </c>
    </row>
    <row r="4" spans="1:18" x14ac:dyDescent="0.25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3" t="s">
        <v>14</v>
      </c>
    </row>
    <row r="5" spans="1:18" x14ac:dyDescent="0.25">
      <c r="C5" s="3"/>
      <c r="N5" s="9"/>
      <c r="P5" s="5"/>
      <c r="R5" s="86"/>
    </row>
    <row r="6" spans="1:18" x14ac:dyDescent="0.25">
      <c r="A6" s="10" t="s">
        <v>15</v>
      </c>
      <c r="C6" s="3"/>
      <c r="N6" s="67"/>
      <c r="P6" s="11"/>
      <c r="R6" s="86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6"/>
      <c r="K7" s="12"/>
      <c r="L7" s="12"/>
      <c r="M7" s="12"/>
      <c r="N7" s="68"/>
      <c r="O7" s="12"/>
      <c r="P7" s="14"/>
      <c r="R7" s="86"/>
    </row>
    <row r="8" spans="1:18" x14ac:dyDescent="0.25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/>
      <c r="I8" s="61"/>
      <c r="J8" s="27"/>
      <c r="K8" s="62"/>
      <c r="L8" s="43"/>
      <c r="M8" s="43"/>
      <c r="N8" s="69"/>
      <c r="O8" s="19">
        <f t="shared" ref="O8:O12" si="0">SUM(C8:N8)</f>
        <v>17629.5</v>
      </c>
      <c r="P8" s="79">
        <f t="shared" ref="P8:P13" si="1">B8-O8</f>
        <v>17629.5</v>
      </c>
    </row>
    <row r="9" spans="1:18" x14ac:dyDescent="0.25">
      <c r="A9" t="s">
        <v>17</v>
      </c>
      <c r="B9" s="15">
        <v>500</v>
      </c>
      <c r="C9" s="21"/>
      <c r="D9" s="19"/>
      <c r="E9" s="19">
        <v>162.88999999999999</v>
      </c>
      <c r="F9" s="19"/>
      <c r="G9" s="19"/>
      <c r="H9" s="19"/>
      <c r="I9" s="62"/>
      <c r="J9" s="27"/>
      <c r="K9" s="62"/>
      <c r="L9" s="43"/>
      <c r="M9" s="43"/>
      <c r="N9" s="73"/>
      <c r="O9" s="19">
        <f t="shared" si="0"/>
        <v>162.88999999999999</v>
      </c>
      <c r="P9" s="79">
        <f t="shared" si="1"/>
        <v>337.11</v>
      </c>
      <c r="R9" s="34"/>
    </row>
    <row r="10" spans="1:18" x14ac:dyDescent="0.25">
      <c r="A10" t="s">
        <v>18</v>
      </c>
      <c r="B10" s="15">
        <v>0</v>
      </c>
      <c r="C10" s="21"/>
      <c r="D10" s="19"/>
      <c r="E10" s="19"/>
      <c r="F10" s="19"/>
      <c r="G10" s="19"/>
      <c r="H10" s="19"/>
      <c r="I10" s="63"/>
      <c r="J10" s="27"/>
      <c r="K10" s="62"/>
      <c r="L10" s="43"/>
      <c r="M10" s="43"/>
      <c r="N10" s="69"/>
      <c r="O10" s="19">
        <f t="shared" si="0"/>
        <v>0</v>
      </c>
      <c r="P10" s="79">
        <f t="shared" si="1"/>
        <v>0</v>
      </c>
      <c r="R10" s="34"/>
    </row>
    <row r="11" spans="1:18" x14ac:dyDescent="0.25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3"/>
      <c r="J11" s="27"/>
      <c r="K11" s="63"/>
      <c r="L11" s="43"/>
      <c r="M11" s="43"/>
      <c r="N11" s="69"/>
      <c r="O11" s="19">
        <f t="shared" si="0"/>
        <v>0</v>
      </c>
      <c r="P11" s="79">
        <f t="shared" si="1"/>
        <v>0</v>
      </c>
    </row>
    <row r="12" spans="1:18" x14ac:dyDescent="0.25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5"/>
      <c r="J12" s="27"/>
      <c r="K12" s="62"/>
      <c r="L12" s="43"/>
      <c r="M12" s="43"/>
      <c r="N12" s="69"/>
      <c r="O12" s="19">
        <f t="shared" si="0"/>
        <v>0</v>
      </c>
      <c r="P12" s="79">
        <f t="shared" si="1"/>
        <v>0</v>
      </c>
      <c r="R12" s="34"/>
    </row>
    <row r="13" spans="1:18" x14ac:dyDescent="0.25">
      <c r="A13" t="s">
        <v>19</v>
      </c>
      <c r="B13" s="15">
        <v>0</v>
      </c>
      <c r="C13" s="21">
        <f>15+7.5</f>
        <v>22.5</v>
      </c>
      <c r="D13" s="19">
        <f>12+12+7.5+6</f>
        <v>37.5</v>
      </c>
      <c r="E13" s="19"/>
      <c r="F13" s="19"/>
      <c r="G13" s="19"/>
      <c r="H13" s="19"/>
      <c r="I13" s="63"/>
      <c r="J13" s="27"/>
      <c r="K13" s="62"/>
      <c r="L13" s="43"/>
      <c r="M13" s="43"/>
      <c r="N13" s="73"/>
      <c r="O13" s="19">
        <f t="shared" ref="O13" si="2">SUM(C13:N13)</f>
        <v>60</v>
      </c>
      <c r="P13" s="79">
        <f t="shared" si="1"/>
        <v>-60</v>
      </c>
    </row>
    <row r="14" spans="1:18" x14ac:dyDescent="0.25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37.5</v>
      </c>
      <c r="E14" s="25">
        <f t="shared" si="3"/>
        <v>162.88999999999999</v>
      </c>
      <c r="F14" s="25">
        <f t="shared" si="3"/>
        <v>0</v>
      </c>
      <c r="G14" s="25">
        <f t="shared" si="3"/>
        <v>0</v>
      </c>
      <c r="H14" s="25">
        <f t="shared" si="3"/>
        <v>0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17852.39</v>
      </c>
      <c r="P14" s="25">
        <f t="shared" si="3"/>
        <v>17906.61</v>
      </c>
      <c r="Q14" s="75"/>
    </row>
    <row r="15" spans="1:18" x14ac:dyDescent="0.25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79"/>
    </row>
    <row r="16" spans="1:18" x14ac:dyDescent="0.25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9"/>
    </row>
    <row r="17" spans="1:20" x14ac:dyDescent="0.25">
      <c r="A17" t="s">
        <v>138</v>
      </c>
      <c r="B17" s="15">
        <v>7318</v>
      </c>
      <c r="C17" s="21">
        <f>538.6+361.8</f>
        <v>900.40000000000009</v>
      </c>
      <c r="D17" s="19">
        <v>440.44</v>
      </c>
      <c r="E17" s="19">
        <v>573.55999999999995</v>
      </c>
      <c r="F17" s="19">
        <v>377.04</v>
      </c>
      <c r="G17" s="19"/>
      <c r="H17" s="19"/>
      <c r="I17" s="27"/>
      <c r="J17" s="27"/>
      <c r="K17" s="62"/>
      <c r="L17" s="43"/>
      <c r="M17" s="43"/>
      <c r="N17" s="18"/>
      <c r="O17" s="19">
        <f>SUM(C17:N17)</f>
        <v>2291.44</v>
      </c>
      <c r="P17" s="79">
        <f>B17-O17</f>
        <v>5026.5599999999995</v>
      </c>
      <c r="R17" s="34"/>
      <c r="T17" s="19"/>
    </row>
    <row r="18" spans="1:20" x14ac:dyDescent="0.25">
      <c r="A18" t="s">
        <v>126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2"/>
      <c r="L18" s="43"/>
      <c r="M18" s="43"/>
      <c r="N18" s="18"/>
      <c r="O18" s="19">
        <f>SUM(C18:N18)</f>
        <v>0</v>
      </c>
      <c r="P18" s="79"/>
      <c r="R18" s="34"/>
      <c r="T18" s="19"/>
    </row>
    <row r="19" spans="1:20" x14ac:dyDescent="0.25">
      <c r="A19" t="s">
        <v>127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2"/>
      <c r="L19" s="43"/>
      <c r="M19" s="43"/>
      <c r="N19" s="18"/>
      <c r="O19" s="19">
        <f>SUM(C19:N19)</f>
        <v>0</v>
      </c>
      <c r="P19" s="79"/>
      <c r="R19" s="34"/>
      <c r="T19" s="19"/>
    </row>
    <row r="20" spans="1:20" x14ac:dyDescent="0.25">
      <c r="A20" t="s">
        <v>128</v>
      </c>
      <c r="B20" s="15">
        <f>348+119+43</f>
        <v>510</v>
      </c>
      <c r="C20" s="21"/>
      <c r="D20" s="19"/>
      <c r="E20" s="19"/>
      <c r="F20" s="19">
        <v>420.52</v>
      </c>
      <c r="G20" s="19"/>
      <c r="H20" s="19"/>
      <c r="I20" s="27"/>
      <c r="J20" s="27"/>
      <c r="K20" s="62"/>
      <c r="L20" s="43"/>
      <c r="M20" s="43"/>
      <c r="N20" s="18"/>
      <c r="O20" s="19">
        <f>SUM(C20:N20)</f>
        <v>420.52</v>
      </c>
      <c r="P20" s="79"/>
      <c r="R20" s="34"/>
      <c r="T20" s="19"/>
    </row>
    <row r="21" spans="1:20" x14ac:dyDescent="0.25">
      <c r="A21" t="s">
        <v>48</v>
      </c>
      <c r="B21" s="15">
        <v>510</v>
      </c>
      <c r="C21" s="21">
        <f>35+36</f>
        <v>71</v>
      </c>
      <c r="D21" s="19"/>
      <c r="E21" s="27">
        <v>34</v>
      </c>
      <c r="F21" s="19"/>
      <c r="G21" s="19"/>
      <c r="H21" s="19"/>
      <c r="I21" s="27"/>
      <c r="J21" s="27"/>
      <c r="K21" s="62"/>
      <c r="L21" s="43"/>
      <c r="M21" s="43"/>
      <c r="N21" s="69"/>
      <c r="O21" s="19">
        <f t="shared" ref="O21:O37" si="4">SUM(C21:N21)</f>
        <v>105</v>
      </c>
      <c r="P21" s="79">
        <f t="shared" ref="P21:P47" si="5">B21-O21</f>
        <v>405</v>
      </c>
      <c r="R21" s="34"/>
      <c r="T21" s="19"/>
    </row>
    <row r="22" spans="1:20" x14ac:dyDescent="0.25">
      <c r="A22" t="s">
        <v>49</v>
      </c>
      <c r="B22" s="15">
        <v>400</v>
      </c>
      <c r="C22" s="28">
        <f>10</f>
        <v>10</v>
      </c>
      <c r="D22" s="29">
        <f>10+6.24+30.28+15.67</f>
        <v>62.190000000000005</v>
      </c>
      <c r="E22" s="29">
        <v>10</v>
      </c>
      <c r="F22" s="29">
        <f>45+6.78+45.82</f>
        <v>97.6</v>
      </c>
      <c r="G22" s="29"/>
      <c r="H22" s="29"/>
      <c r="I22" s="29"/>
      <c r="J22" s="29"/>
      <c r="K22" s="64"/>
      <c r="L22" s="71"/>
      <c r="M22" s="71"/>
      <c r="N22" s="74"/>
      <c r="O22" s="19">
        <f t="shared" si="4"/>
        <v>179.79</v>
      </c>
      <c r="P22" s="85">
        <f t="shared" si="5"/>
        <v>220.21</v>
      </c>
      <c r="R22" s="86"/>
      <c r="S22" s="34"/>
      <c r="T22" s="28"/>
    </row>
    <row r="23" spans="1:20" x14ac:dyDescent="0.25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2"/>
      <c r="L23" s="43"/>
      <c r="M23" s="43"/>
      <c r="N23" s="69"/>
      <c r="O23" s="19">
        <f t="shared" si="4"/>
        <v>0</v>
      </c>
      <c r="P23" s="79">
        <f t="shared" si="5"/>
        <v>0</v>
      </c>
      <c r="R23" s="34"/>
      <c r="T23" s="19"/>
    </row>
    <row r="24" spans="1:20" x14ac:dyDescent="0.25">
      <c r="A24" t="s">
        <v>60</v>
      </c>
      <c r="B24" s="96">
        <v>120</v>
      </c>
      <c r="D24" s="19"/>
      <c r="E24" s="19"/>
      <c r="F24" s="19"/>
      <c r="G24" s="19"/>
      <c r="H24" s="19"/>
      <c r="I24" s="27"/>
      <c r="J24" s="27"/>
      <c r="K24" s="62"/>
      <c r="L24" s="43"/>
      <c r="M24" s="43"/>
      <c r="N24" s="69"/>
      <c r="O24" s="19">
        <f t="shared" si="4"/>
        <v>0</v>
      </c>
      <c r="P24" s="79">
        <f t="shared" si="5"/>
        <v>120</v>
      </c>
      <c r="R24" s="34"/>
      <c r="T24" s="19"/>
    </row>
    <row r="25" spans="1:20" x14ac:dyDescent="0.25">
      <c r="A25" t="s">
        <v>50</v>
      </c>
      <c r="B25" s="15">
        <v>210</v>
      </c>
      <c r="C25" s="21">
        <v>139.97999999999999</v>
      </c>
      <c r="D25" s="19">
        <v>104.99</v>
      </c>
      <c r="E25" s="19"/>
      <c r="F25" s="19"/>
      <c r="G25" s="19"/>
      <c r="H25" s="19"/>
      <c r="I25" s="27"/>
      <c r="J25" s="27"/>
      <c r="K25" s="62"/>
      <c r="L25" s="43"/>
      <c r="M25" s="43"/>
      <c r="N25" s="69"/>
      <c r="O25" s="19">
        <f t="shared" si="4"/>
        <v>244.96999999999997</v>
      </c>
      <c r="P25" s="79">
        <f t="shared" si="5"/>
        <v>-34.96999999999997</v>
      </c>
      <c r="R25" s="34"/>
      <c r="T25" s="19"/>
    </row>
    <row r="26" spans="1:20" x14ac:dyDescent="0.25">
      <c r="A26" t="s">
        <v>23</v>
      </c>
      <c r="B26" s="15">
        <v>450</v>
      </c>
      <c r="C26" s="21"/>
      <c r="D26" s="19">
        <v>311.01</v>
      </c>
      <c r="E26" s="19"/>
      <c r="F26" s="19"/>
      <c r="G26" s="19"/>
      <c r="H26" s="19"/>
      <c r="I26" s="27"/>
      <c r="J26" s="27"/>
      <c r="K26" s="62"/>
      <c r="L26" s="43"/>
      <c r="M26" s="43"/>
      <c r="N26" s="74"/>
      <c r="O26" s="19">
        <f t="shared" si="4"/>
        <v>311.01</v>
      </c>
      <c r="P26" s="85">
        <f t="shared" si="5"/>
        <v>138.99</v>
      </c>
      <c r="S26" s="34"/>
      <c r="T26" s="19"/>
    </row>
    <row r="27" spans="1:20" x14ac:dyDescent="0.25">
      <c r="A27" t="s">
        <v>47</v>
      </c>
      <c r="B27" s="15">
        <v>600</v>
      </c>
      <c r="C27" s="21"/>
      <c r="D27" s="19">
        <v>0</v>
      </c>
      <c r="E27" s="19">
        <v>282</v>
      </c>
      <c r="F27" s="19"/>
      <c r="G27" s="19"/>
      <c r="H27" s="19"/>
      <c r="I27" s="27"/>
      <c r="J27" s="27"/>
      <c r="K27" s="62"/>
      <c r="L27" s="43"/>
      <c r="M27" s="43"/>
      <c r="N27" s="69"/>
      <c r="O27" s="19">
        <v>0</v>
      </c>
      <c r="P27" s="79">
        <f t="shared" si="5"/>
        <v>600</v>
      </c>
      <c r="R27" s="34"/>
      <c r="T27" s="19"/>
    </row>
    <row r="28" spans="1:20" x14ac:dyDescent="0.25">
      <c r="A28" t="s">
        <v>22</v>
      </c>
      <c r="B28" s="15">
        <v>420</v>
      </c>
      <c r="C28" s="21"/>
      <c r="D28" s="19"/>
      <c r="E28" s="19"/>
      <c r="F28" s="19"/>
      <c r="G28" s="19"/>
      <c r="H28" s="19"/>
      <c r="I28" s="27"/>
      <c r="J28" s="27"/>
      <c r="K28" s="62"/>
      <c r="L28" s="43"/>
      <c r="M28" s="43"/>
      <c r="N28" s="69"/>
      <c r="O28" s="19">
        <f t="shared" si="4"/>
        <v>0</v>
      </c>
      <c r="P28" s="79">
        <f t="shared" si="5"/>
        <v>420</v>
      </c>
      <c r="R28" s="34"/>
      <c r="T28" s="19"/>
    </row>
    <row r="29" spans="1:20" x14ac:dyDescent="0.25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3"/>
      <c r="L29" s="43"/>
      <c r="M29" s="43"/>
      <c r="N29" s="69"/>
      <c r="O29" s="19">
        <f t="shared" si="4"/>
        <v>50</v>
      </c>
      <c r="P29" s="79">
        <f t="shared" si="5"/>
        <v>150</v>
      </c>
      <c r="R29" s="34"/>
      <c r="T29" s="19"/>
    </row>
    <row r="30" spans="1:20" x14ac:dyDescent="0.25">
      <c r="A30" t="s">
        <v>52</v>
      </c>
      <c r="B30" s="15">
        <v>102</v>
      </c>
      <c r="C30" s="21">
        <f>6+3</f>
        <v>9</v>
      </c>
      <c r="D30" s="19">
        <f>6+3</f>
        <v>9</v>
      </c>
      <c r="E30" s="19">
        <v>9</v>
      </c>
      <c r="F30" s="19">
        <f>3+6</f>
        <v>9</v>
      </c>
      <c r="G30" s="19"/>
      <c r="H30" s="19"/>
      <c r="I30" s="27"/>
      <c r="J30" s="27"/>
      <c r="K30" s="62"/>
      <c r="L30" s="43"/>
      <c r="M30" s="43"/>
      <c r="N30" s="74"/>
      <c r="O30" s="19">
        <f t="shared" si="4"/>
        <v>36</v>
      </c>
      <c r="P30" s="85">
        <f t="shared" si="5"/>
        <v>66</v>
      </c>
      <c r="S30" s="34"/>
      <c r="T30" s="19"/>
    </row>
    <row r="31" spans="1:20" x14ac:dyDescent="0.25">
      <c r="A31" t="s">
        <v>53</v>
      </c>
      <c r="B31" s="15">
        <v>170</v>
      </c>
      <c r="C31" s="21"/>
      <c r="D31" s="19"/>
      <c r="E31" s="19"/>
      <c r="F31" s="19"/>
      <c r="G31" s="19"/>
      <c r="H31" s="19"/>
      <c r="I31" s="27"/>
      <c r="J31" s="27"/>
      <c r="K31" s="62"/>
      <c r="L31" s="43"/>
      <c r="M31" s="43"/>
      <c r="N31" s="69"/>
      <c r="O31" s="19">
        <f t="shared" si="4"/>
        <v>0</v>
      </c>
      <c r="P31" s="85">
        <f t="shared" si="5"/>
        <v>170</v>
      </c>
      <c r="S31" s="34"/>
      <c r="T31" s="19"/>
    </row>
    <row r="32" spans="1:20" x14ac:dyDescent="0.25">
      <c r="A32" t="s">
        <v>93</v>
      </c>
      <c r="B32" s="15">
        <v>500</v>
      </c>
      <c r="C32" s="21"/>
      <c r="D32" s="19"/>
      <c r="E32" s="19"/>
      <c r="F32" s="19"/>
      <c r="G32" s="19"/>
      <c r="H32" s="19"/>
      <c r="I32" s="27"/>
      <c r="J32" s="65"/>
      <c r="K32" s="62"/>
      <c r="L32" s="43"/>
      <c r="M32" s="43"/>
      <c r="N32" s="69"/>
      <c r="O32" s="19">
        <f t="shared" si="4"/>
        <v>0</v>
      </c>
      <c r="P32" s="85">
        <f t="shared" si="5"/>
        <v>500</v>
      </c>
      <c r="S32" s="34"/>
      <c r="T32" s="19"/>
    </row>
    <row r="33" spans="1:20" x14ac:dyDescent="0.25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2"/>
      <c r="L33" s="43"/>
      <c r="M33" s="43"/>
      <c r="N33" s="69"/>
      <c r="O33" s="19">
        <f t="shared" si="4"/>
        <v>47</v>
      </c>
      <c r="P33" s="79">
        <f t="shared" si="5"/>
        <v>-12</v>
      </c>
      <c r="R33" s="86"/>
      <c r="T33" s="19"/>
    </row>
    <row r="34" spans="1:20" x14ac:dyDescent="0.25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/>
      <c r="K34" s="62"/>
      <c r="L34" s="43"/>
      <c r="M34" s="43"/>
      <c r="N34" s="69"/>
      <c r="O34" s="19">
        <f t="shared" si="4"/>
        <v>0</v>
      </c>
      <c r="P34" s="85">
        <f t="shared" si="5"/>
        <v>1625</v>
      </c>
      <c r="S34" s="34"/>
      <c r="T34" s="19"/>
    </row>
    <row r="35" spans="1:20" x14ac:dyDescent="0.25">
      <c r="A35" t="s">
        <v>56</v>
      </c>
      <c r="B35" s="15">
        <v>460</v>
      </c>
      <c r="C35" s="21"/>
      <c r="D35" s="19">
        <v>19.600000000000001</v>
      </c>
      <c r="E35" s="19"/>
      <c r="F35" s="19"/>
      <c r="G35" s="19"/>
      <c r="H35" s="19"/>
      <c r="I35" s="27"/>
      <c r="J35" s="27"/>
      <c r="K35" s="62"/>
      <c r="L35" s="43"/>
      <c r="M35" s="43"/>
      <c r="N35" s="69"/>
      <c r="O35" s="19">
        <f t="shared" si="4"/>
        <v>19.600000000000001</v>
      </c>
      <c r="P35" s="79">
        <f t="shared" si="5"/>
        <v>440.4</v>
      </c>
      <c r="R35" s="34"/>
      <c r="T35" s="19"/>
    </row>
    <row r="36" spans="1:20" x14ac:dyDescent="0.25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2"/>
      <c r="L36" s="43"/>
      <c r="M36" s="43"/>
      <c r="N36" s="69"/>
      <c r="O36" s="19">
        <f t="shared" si="4"/>
        <v>247.35</v>
      </c>
      <c r="P36" s="79">
        <f t="shared" si="5"/>
        <v>102.65</v>
      </c>
      <c r="R36" s="34"/>
      <c r="T36" s="19"/>
    </row>
    <row r="37" spans="1:20" x14ac:dyDescent="0.25">
      <c r="A37" t="s">
        <v>57</v>
      </c>
      <c r="B37" s="15">
        <v>1700</v>
      </c>
      <c r="C37" s="21"/>
      <c r="D37" s="19"/>
      <c r="E37" s="19"/>
      <c r="F37" s="19">
        <v>150</v>
      </c>
      <c r="G37" s="19"/>
      <c r="H37" s="19"/>
      <c r="I37" s="27"/>
      <c r="J37" s="27"/>
      <c r="K37" s="62"/>
      <c r="L37" s="43"/>
      <c r="M37" s="43"/>
      <c r="N37" s="74"/>
      <c r="O37" s="19">
        <f t="shared" si="4"/>
        <v>150</v>
      </c>
      <c r="P37" s="79">
        <f t="shared" si="5"/>
        <v>1550</v>
      </c>
      <c r="R37" s="34"/>
      <c r="T37" s="19"/>
    </row>
    <row r="38" spans="1:20" x14ac:dyDescent="0.25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/>
      <c r="J38" s="27"/>
      <c r="K38" s="62"/>
      <c r="L38" s="43"/>
      <c r="M38" s="43"/>
      <c r="N38" s="69"/>
      <c r="O38" s="19">
        <f t="shared" ref="O38:O46" si="6">SUM(C38:N38)</f>
        <v>0</v>
      </c>
      <c r="P38" s="79">
        <f t="shared" si="5"/>
        <v>50</v>
      </c>
      <c r="R38" s="34"/>
      <c r="T38" s="19"/>
    </row>
    <row r="39" spans="1:20" hidden="1" x14ac:dyDescent="0.25">
      <c r="A39" t="s">
        <v>69</v>
      </c>
      <c r="B39" s="54"/>
      <c r="C39" s="55"/>
      <c r="D39" s="22"/>
      <c r="E39" s="22"/>
      <c r="F39" s="22"/>
      <c r="G39" s="22"/>
      <c r="H39" s="22"/>
      <c r="I39" s="65"/>
      <c r="J39" s="65"/>
      <c r="K39" s="63"/>
      <c r="L39" s="72"/>
      <c r="M39" s="72"/>
      <c r="N39" s="70"/>
      <c r="O39" s="22">
        <f t="shared" si="6"/>
        <v>0</v>
      </c>
      <c r="P39" s="79">
        <f t="shared" si="5"/>
        <v>0</v>
      </c>
      <c r="T39" s="22"/>
    </row>
    <row r="40" spans="1:20" x14ac:dyDescent="0.25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2"/>
      <c r="L40" s="43"/>
      <c r="M40" s="43"/>
      <c r="N40" s="69"/>
      <c r="O40" s="19">
        <f t="shared" si="6"/>
        <v>0</v>
      </c>
      <c r="P40" s="79">
        <f t="shared" si="5"/>
        <v>0</v>
      </c>
      <c r="R40" s="34"/>
      <c r="T40" s="19"/>
    </row>
    <row r="41" spans="1:20" x14ac:dyDescent="0.25">
      <c r="A41" t="s">
        <v>62</v>
      </c>
      <c r="B41" s="15">
        <v>4200</v>
      </c>
      <c r="C41" s="21"/>
      <c r="D41" s="19">
        <v>4200</v>
      </c>
      <c r="E41" s="19"/>
      <c r="F41" s="19"/>
      <c r="G41" s="19"/>
      <c r="H41" s="19"/>
      <c r="I41" s="27"/>
      <c r="J41" s="27"/>
      <c r="K41" s="62"/>
      <c r="L41" s="43"/>
      <c r="M41" s="43"/>
      <c r="N41" s="69"/>
      <c r="O41" s="19">
        <f t="shared" si="6"/>
        <v>4200</v>
      </c>
      <c r="P41" s="79">
        <f t="shared" si="5"/>
        <v>0</v>
      </c>
      <c r="T41" s="19"/>
    </row>
    <row r="42" spans="1:20" x14ac:dyDescent="0.25">
      <c r="A42" t="s">
        <v>61</v>
      </c>
      <c r="B42" s="15">
        <v>13152</v>
      </c>
      <c r="C42" s="21"/>
      <c r="D42" s="19"/>
      <c r="E42" s="19">
        <v>6575.92</v>
      </c>
      <c r="F42" s="19"/>
      <c r="G42" s="19"/>
      <c r="H42" s="19"/>
      <c r="I42" s="27"/>
      <c r="J42" s="27"/>
      <c r="K42" s="62"/>
      <c r="L42" s="43"/>
      <c r="M42" s="43"/>
      <c r="N42" s="69"/>
      <c r="O42" s="19">
        <f t="shared" si="6"/>
        <v>6575.92</v>
      </c>
      <c r="P42" s="79">
        <f t="shared" si="5"/>
        <v>6576.08</v>
      </c>
      <c r="R42" s="34"/>
      <c r="T42" s="19"/>
    </row>
    <row r="43" spans="1:20" x14ac:dyDescent="0.25">
      <c r="A43" t="s">
        <v>129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/>
      <c r="J43" s="27"/>
      <c r="K43" s="62"/>
      <c r="L43" s="43"/>
      <c r="M43" s="43"/>
      <c r="N43" s="69"/>
      <c r="O43" s="19">
        <f t="shared" si="6"/>
        <v>2107.7399999999998</v>
      </c>
      <c r="P43" s="85">
        <f t="shared" si="5"/>
        <v>-607.73999999999978</v>
      </c>
      <c r="T43" s="19"/>
    </row>
    <row r="44" spans="1:20" x14ac:dyDescent="0.25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2"/>
      <c r="L44" s="43"/>
      <c r="M44" s="43"/>
      <c r="N44" s="69"/>
      <c r="O44" s="19">
        <f t="shared" si="6"/>
        <v>0</v>
      </c>
      <c r="P44" s="85">
        <f t="shared" si="5"/>
        <v>100</v>
      </c>
      <c r="T44" s="19"/>
    </row>
    <row r="45" spans="1:20" x14ac:dyDescent="0.25">
      <c r="A45" t="s">
        <v>66</v>
      </c>
      <c r="B45" s="15">
        <v>0</v>
      </c>
      <c r="C45" s="21"/>
      <c r="D45" s="19"/>
      <c r="F45" s="19">
        <f>48.37+17.47+75</f>
        <v>140.84</v>
      </c>
      <c r="G45" s="19"/>
      <c r="H45" s="19"/>
      <c r="I45" s="27"/>
      <c r="J45" s="27"/>
      <c r="K45" s="62"/>
      <c r="L45" s="43"/>
      <c r="M45" s="43"/>
      <c r="N45" s="69"/>
      <c r="O45" s="19">
        <f t="shared" si="6"/>
        <v>140.84</v>
      </c>
      <c r="P45" s="80">
        <f t="shared" si="5"/>
        <v>-140.84</v>
      </c>
      <c r="R45" s="75"/>
      <c r="T45" s="19"/>
    </row>
    <row r="46" spans="1:20" x14ac:dyDescent="0.25">
      <c r="A46" t="s">
        <v>130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2"/>
      <c r="L46" s="43"/>
      <c r="M46" s="43"/>
      <c r="N46" s="69"/>
      <c r="O46" s="19">
        <f t="shared" si="6"/>
        <v>0</v>
      </c>
      <c r="P46" s="80">
        <f t="shared" si="5"/>
        <v>0</v>
      </c>
      <c r="S46" s="34"/>
      <c r="T46" s="19"/>
    </row>
    <row r="47" spans="1:20" x14ac:dyDescent="0.25">
      <c r="A47" t="s">
        <v>68</v>
      </c>
      <c r="B47" s="15">
        <v>0</v>
      </c>
      <c r="C47" s="21">
        <f>225</f>
        <v>225</v>
      </c>
      <c r="D47" s="19">
        <f>400+53.44</f>
        <v>453.44</v>
      </c>
      <c r="E47" s="19">
        <f>219.65</f>
        <v>219.65</v>
      </c>
      <c r="F47" s="19"/>
      <c r="G47" s="19"/>
      <c r="H47" s="19"/>
      <c r="I47" s="62"/>
      <c r="J47" s="27"/>
      <c r="K47" s="62"/>
      <c r="L47" s="43"/>
      <c r="M47" s="43"/>
      <c r="N47" s="69"/>
      <c r="O47" s="19">
        <f>SUM(C47:N47)</f>
        <v>898.09</v>
      </c>
      <c r="P47" s="80">
        <f t="shared" si="5"/>
        <v>-898.09</v>
      </c>
      <c r="T47" s="19"/>
    </row>
    <row r="48" spans="1:20" x14ac:dyDescent="0.25">
      <c r="A48" s="23" t="s">
        <v>24</v>
      </c>
      <c r="B48" s="31">
        <f t="shared" ref="B48:P48" si="7">SUM(B17:B47)</f>
        <v>35759</v>
      </c>
      <c r="C48" s="32">
        <f>SUM(C17:C47)</f>
        <v>3807.47</v>
      </c>
      <c r="D48" s="32">
        <f t="shared" si="7"/>
        <v>5600.6699999999992</v>
      </c>
      <c r="E48" s="32">
        <f>SUM(E17:E47)</f>
        <v>7704.1299999999992</v>
      </c>
      <c r="F48" s="32">
        <f t="shared" si="7"/>
        <v>1194.9999999999998</v>
      </c>
      <c r="G48" s="32">
        <f t="shared" si="7"/>
        <v>0</v>
      </c>
      <c r="H48" s="32">
        <f t="shared" si="7"/>
        <v>0</v>
      </c>
      <c r="I48" s="32">
        <f t="shared" si="7"/>
        <v>0</v>
      </c>
      <c r="J48" s="32">
        <f t="shared" si="7"/>
        <v>0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18025.27</v>
      </c>
      <c r="P48" s="81">
        <f t="shared" si="7"/>
        <v>16567.25</v>
      </c>
      <c r="Q48" s="75"/>
      <c r="R48" s="34"/>
      <c r="S48" s="34"/>
      <c r="T48" s="33"/>
    </row>
    <row r="49" spans="1:19" x14ac:dyDescent="0.25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79"/>
    </row>
    <row r="50" spans="1:19" ht="23.25" x14ac:dyDescent="0.3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79"/>
    </row>
    <row r="51" spans="1:19" ht="23.25" x14ac:dyDescent="0.35">
      <c r="A51" s="1" t="s">
        <v>46</v>
      </c>
      <c r="C51" s="3"/>
      <c r="N51" s="4"/>
      <c r="O51" s="19"/>
      <c r="P51" s="79"/>
    </row>
    <row r="52" spans="1:19" x14ac:dyDescent="0.25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79"/>
    </row>
    <row r="53" spans="1:19" x14ac:dyDescent="0.25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79"/>
      <c r="Q53" s="2"/>
    </row>
    <row r="54" spans="1:19" x14ac:dyDescent="0.25">
      <c r="A54" t="s">
        <v>26</v>
      </c>
      <c r="B54" s="12"/>
      <c r="C54" s="21">
        <f>421.55+7+7.2+49.48+2</f>
        <v>487.23</v>
      </c>
      <c r="D54" s="19">
        <f>10.43+10.69+2</f>
        <v>23.119999999999997</v>
      </c>
      <c r="E54" s="19">
        <f>43.93+6.8+56.4+2</f>
        <v>109.13</v>
      </c>
      <c r="F54" s="19">
        <f>9.67+30+27.66+1.36</f>
        <v>68.69</v>
      </c>
      <c r="G54" s="19"/>
      <c r="H54" s="19"/>
      <c r="I54" s="19"/>
      <c r="J54" s="19"/>
      <c r="K54" s="19"/>
      <c r="L54" s="19"/>
      <c r="M54" s="19"/>
      <c r="N54" s="20"/>
      <c r="O54" s="19">
        <f t="shared" ref="O54:O55" si="8">SUM(C54:N54)</f>
        <v>688.17000000000007</v>
      </c>
      <c r="P54" s="79"/>
      <c r="Q54" s="35"/>
      <c r="R54" s="86"/>
    </row>
    <row r="55" spans="1:19" x14ac:dyDescent="0.25">
      <c r="A55" t="s">
        <v>27</v>
      </c>
      <c r="B55" s="12"/>
      <c r="C55" s="21">
        <v>0</v>
      </c>
      <c r="D55" s="19">
        <v>0</v>
      </c>
      <c r="E55" s="19">
        <v>0</v>
      </c>
      <c r="F55" s="19">
        <v>0</v>
      </c>
      <c r="G55" s="19"/>
      <c r="H55" s="19"/>
      <c r="I55" s="19"/>
      <c r="J55" s="19"/>
      <c r="K55" s="19"/>
      <c r="L55" s="19"/>
      <c r="M55" s="19"/>
      <c r="N55" s="20"/>
      <c r="O55" s="19">
        <f t="shared" si="8"/>
        <v>0</v>
      </c>
      <c r="P55" s="79"/>
      <c r="Q55" s="2"/>
    </row>
    <row r="56" spans="1:19" x14ac:dyDescent="0.25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-23.119999999999997</v>
      </c>
      <c r="E56" s="36">
        <f t="shared" si="9"/>
        <v>-109.13</v>
      </c>
      <c r="F56" s="36">
        <f t="shared" si="9"/>
        <v>-68.69</v>
      </c>
      <c r="G56" s="36">
        <f t="shared" si="9"/>
        <v>0</v>
      </c>
      <c r="H56" s="36">
        <f t="shared" si="9"/>
        <v>0</v>
      </c>
      <c r="I56" s="36">
        <f t="shared" si="9"/>
        <v>0</v>
      </c>
      <c r="J56" s="36">
        <f t="shared" si="9"/>
        <v>0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-688.17000000000007</v>
      </c>
      <c r="P56" s="25">
        <f>O56</f>
        <v>-688.17000000000007</v>
      </c>
      <c r="Q56" s="76"/>
      <c r="R56" s="34"/>
    </row>
    <row r="57" spans="1:19" x14ac:dyDescent="0.25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79"/>
    </row>
    <row r="58" spans="1:19" x14ac:dyDescent="0.25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79"/>
      <c r="S58" s="34"/>
    </row>
    <row r="59" spans="1:19" x14ac:dyDescent="0.25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79"/>
    </row>
    <row r="60" spans="1:19" x14ac:dyDescent="0.25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79"/>
      <c r="S60" s="34"/>
    </row>
    <row r="61" spans="1:19" x14ac:dyDescent="0.25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79"/>
      <c r="S61" s="34"/>
    </row>
    <row r="62" spans="1:19" x14ac:dyDescent="0.25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79"/>
      <c r="S62" s="34"/>
    </row>
    <row r="63" spans="1:19" x14ac:dyDescent="0.25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79"/>
      <c r="Q63" s="76">
        <f>O62-O63</f>
        <v>0</v>
      </c>
      <c r="S63" s="44"/>
    </row>
    <row r="64" spans="1:19" hidden="1" x14ac:dyDescent="0.25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79"/>
    </row>
    <row r="65" spans="1:20" hidden="1" x14ac:dyDescent="0.25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9"/>
    </row>
    <row r="66" spans="1:20" x14ac:dyDescent="0.25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19"/>
    </row>
    <row r="67" spans="1:20" x14ac:dyDescent="0.25">
      <c r="S67" s="47"/>
    </row>
    <row r="68" spans="1:20" x14ac:dyDescent="0.25">
      <c r="A68" s="23" t="s">
        <v>34</v>
      </c>
      <c r="P68" s="34"/>
    </row>
    <row r="69" spans="1:20" x14ac:dyDescent="0.25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49694.219999999994</v>
      </c>
      <c r="F69" s="38">
        <f t="shared" si="13"/>
        <v>42043.85</v>
      </c>
      <c r="G69" s="38">
        <f t="shared" si="13"/>
        <v>40780.159999999996</v>
      </c>
      <c r="H69" s="38">
        <f t="shared" si="13"/>
        <v>40780.159999999996</v>
      </c>
      <c r="I69" s="38">
        <f t="shared" si="13"/>
        <v>40780.159999999996</v>
      </c>
      <c r="J69" s="38">
        <f t="shared" si="13"/>
        <v>40780.159999999996</v>
      </c>
      <c r="K69" s="38">
        <f t="shared" si="13"/>
        <v>40780.159999999996</v>
      </c>
      <c r="L69" s="38">
        <f t="shared" si="13"/>
        <v>40780.159999999996</v>
      </c>
      <c r="M69" s="38">
        <f>L74</f>
        <v>40780.159999999996</v>
      </c>
      <c r="N69" s="38">
        <f t="shared" si="13"/>
        <v>40780.159999999996</v>
      </c>
      <c r="O69" s="38"/>
    </row>
    <row r="70" spans="1:20" x14ac:dyDescent="0.25">
      <c r="A70" t="s">
        <v>36</v>
      </c>
      <c r="B70" s="38"/>
      <c r="C70" s="39">
        <f t="shared" ref="C70:N70" si="14">C14</f>
        <v>17652</v>
      </c>
      <c r="D70" s="39">
        <f t="shared" si="14"/>
        <v>37.5</v>
      </c>
      <c r="E70" s="39">
        <f t="shared" si="14"/>
        <v>162.88999999999999</v>
      </c>
      <c r="F70" s="39">
        <f t="shared" si="14"/>
        <v>0</v>
      </c>
      <c r="G70" s="39">
        <f t="shared" si="14"/>
        <v>0</v>
      </c>
      <c r="H70" s="39">
        <f t="shared" si="14"/>
        <v>0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25">
      <c r="A71" t="s">
        <v>37</v>
      </c>
      <c r="B71" s="38">
        <f>C70+C73</f>
        <v>17652</v>
      </c>
      <c r="C71" s="39">
        <f>-C48</f>
        <v>-3807.47</v>
      </c>
      <c r="D71" s="39">
        <f>-D48</f>
        <v>-5600.6699999999992</v>
      </c>
      <c r="E71" s="39">
        <f>-E48</f>
        <v>-7704.1299999999992</v>
      </c>
      <c r="F71" s="39">
        <f>-F48</f>
        <v>-1194.9999999999998</v>
      </c>
      <c r="G71" s="39">
        <f t="shared" ref="G71:N71" si="15">-G48</f>
        <v>0</v>
      </c>
      <c r="H71" s="39">
        <f t="shared" si="15"/>
        <v>0</v>
      </c>
      <c r="I71" s="39">
        <f t="shared" si="15"/>
        <v>0</v>
      </c>
      <c r="J71" s="39">
        <f t="shared" si="15"/>
        <v>0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25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-23.119999999999997</v>
      </c>
      <c r="E72" s="39">
        <f t="shared" si="16"/>
        <v>-109.13</v>
      </c>
      <c r="F72" s="39">
        <f t="shared" si="16"/>
        <v>-68.69</v>
      </c>
      <c r="G72" s="39">
        <f t="shared" si="16"/>
        <v>0</v>
      </c>
      <c r="H72" s="39">
        <f t="shared" si="16"/>
        <v>0</v>
      </c>
      <c r="I72" s="39">
        <f t="shared" si="16"/>
        <v>0</v>
      </c>
      <c r="J72" s="39">
        <f t="shared" si="16"/>
        <v>0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25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25">
      <c r="A74" t="s">
        <v>40</v>
      </c>
      <c r="C74" s="40">
        <f t="shared" ref="C74:N74" si="18">SUM(C69:C73)</f>
        <v>55280.509999999995</v>
      </c>
      <c r="D74" s="40">
        <f t="shared" si="18"/>
        <v>49694.219999999994</v>
      </c>
      <c r="E74" s="40">
        <f t="shared" si="18"/>
        <v>42043.85</v>
      </c>
      <c r="F74" s="40">
        <f t="shared" si="18"/>
        <v>40780.159999999996</v>
      </c>
      <c r="G74" s="40">
        <f t="shared" si="18"/>
        <v>40780.159999999996</v>
      </c>
      <c r="H74" s="40">
        <f t="shared" si="18"/>
        <v>40780.159999999996</v>
      </c>
      <c r="I74" s="40">
        <f t="shared" si="18"/>
        <v>40780.159999999996</v>
      </c>
      <c r="J74" s="40">
        <f t="shared" si="18"/>
        <v>40780.159999999996</v>
      </c>
      <c r="K74" s="40">
        <f t="shared" si="18"/>
        <v>40780.159999999996</v>
      </c>
      <c r="L74" s="40">
        <f t="shared" si="18"/>
        <v>40780.159999999996</v>
      </c>
      <c r="M74" s="40">
        <f t="shared" si="18"/>
        <v>40780.159999999996</v>
      </c>
      <c r="N74" s="40">
        <f t="shared" si="18"/>
        <v>40780.159999999996</v>
      </c>
      <c r="O74" s="40"/>
    </row>
    <row r="75" spans="1:20" x14ac:dyDescent="0.25">
      <c r="H75" s="7"/>
      <c r="Q75" s="34"/>
    </row>
    <row r="76" spans="1:20" x14ac:dyDescent="0.25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25">
      <c r="A77" t="s">
        <v>42</v>
      </c>
      <c r="B77" s="43">
        <v>14075.07</v>
      </c>
      <c r="C77" s="43">
        <f>27432.37</f>
        <v>27432.37</v>
      </c>
      <c r="D77" s="43">
        <v>21846.080000000002</v>
      </c>
      <c r="E77" s="43">
        <v>14032.82</v>
      </c>
      <c r="F77" s="43">
        <v>12769.13</v>
      </c>
      <c r="G77" s="43"/>
      <c r="H77" s="43"/>
      <c r="I77" s="43"/>
      <c r="J77" s="43"/>
      <c r="K77" s="43"/>
      <c r="L77" s="43"/>
      <c r="M77" s="43"/>
      <c r="N77" s="43"/>
      <c r="O77" s="43"/>
      <c r="Q77" s="34"/>
      <c r="T77" s="43"/>
    </row>
    <row r="78" spans="1:20" x14ac:dyDescent="0.25">
      <c r="A78" t="s">
        <v>43</v>
      </c>
      <c r="B78" s="19">
        <v>27848.14</v>
      </c>
      <c r="C78" s="19">
        <f>27848.14</f>
        <v>27848.14</v>
      </c>
      <c r="D78" s="19">
        <v>27848.14</v>
      </c>
      <c r="E78" s="19">
        <v>28011.03</v>
      </c>
      <c r="F78" s="19">
        <v>28011.03</v>
      </c>
      <c r="G78" s="19"/>
      <c r="H78" s="19"/>
      <c r="I78" s="19"/>
      <c r="J78" s="19"/>
      <c r="K78" s="19"/>
      <c r="L78" s="19"/>
      <c r="M78" s="19"/>
      <c r="N78" s="19"/>
      <c r="O78" s="19"/>
      <c r="T78" s="19"/>
    </row>
    <row r="79" spans="1:20" x14ac:dyDescent="0.25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49694.22</v>
      </c>
      <c r="E79" s="45">
        <f t="shared" si="19"/>
        <v>42043.85</v>
      </c>
      <c r="F79" s="45">
        <f t="shared" si="19"/>
        <v>40780.159999999996</v>
      </c>
      <c r="G79" s="45">
        <f t="shared" si="19"/>
        <v>0</v>
      </c>
      <c r="H79" s="45">
        <f t="shared" si="19"/>
        <v>0</v>
      </c>
      <c r="I79" s="45">
        <f t="shared" si="19"/>
        <v>0</v>
      </c>
      <c r="J79" s="45">
        <f t="shared" si="19"/>
        <v>0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25">
      <c r="Q80" s="34"/>
    </row>
    <row r="81" spans="1:17" x14ac:dyDescent="0.25">
      <c r="A81" s="30" t="s">
        <v>44</v>
      </c>
      <c r="C81" s="34">
        <f t="shared" ref="C81:O81" si="20">C74-C79</f>
        <v>0</v>
      </c>
      <c r="D81" s="34">
        <f t="shared" si="20"/>
        <v>0</v>
      </c>
      <c r="E81" s="34">
        <f t="shared" si="20"/>
        <v>0</v>
      </c>
      <c r="F81" s="34">
        <f t="shared" si="20"/>
        <v>0</v>
      </c>
      <c r="G81" s="34">
        <f t="shared" si="20"/>
        <v>40780.159999999996</v>
      </c>
      <c r="H81" s="34">
        <f t="shared" si="20"/>
        <v>40780.159999999996</v>
      </c>
      <c r="I81" s="34">
        <f t="shared" si="20"/>
        <v>40780.159999999996</v>
      </c>
      <c r="J81" s="34">
        <f t="shared" si="20"/>
        <v>40780.159999999996</v>
      </c>
      <c r="K81" s="34">
        <f t="shared" si="20"/>
        <v>40780.159999999996</v>
      </c>
      <c r="L81" s="34">
        <f t="shared" si="20"/>
        <v>40780.159999999996</v>
      </c>
      <c r="M81" s="34">
        <f t="shared" si="20"/>
        <v>40780.159999999996</v>
      </c>
      <c r="N81" s="34">
        <f t="shared" si="20"/>
        <v>40780.159999999996</v>
      </c>
      <c r="O81" s="34">
        <f t="shared" si="20"/>
        <v>0</v>
      </c>
      <c r="Q81" s="34"/>
    </row>
    <row r="82" spans="1:17" x14ac:dyDescent="0.25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ignoredErrors>
    <ignoredError sqref="O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topLeftCell="A26" workbookViewId="0">
      <selection activeCell="J17" sqref="J17"/>
    </sheetView>
  </sheetViews>
  <sheetFormatPr defaultRowHeight="15" x14ac:dyDescent="0.25"/>
  <cols>
    <col min="1" max="1" width="21.28515625" customWidth="1"/>
    <col min="2" max="3" width="10.5703125" customWidth="1"/>
    <col min="4" max="4" width="9.5703125" bestFit="1" customWidth="1"/>
    <col min="6" max="7" width="9.140625" customWidth="1"/>
    <col min="8" max="8" width="10.85546875" customWidth="1"/>
    <col min="9" max="14" width="9.140625" customWidth="1"/>
    <col min="15" max="15" width="13.85546875" customWidth="1"/>
  </cols>
  <sheetData>
    <row r="1" spans="1:17" ht="23.25" x14ac:dyDescent="0.35">
      <c r="A1" s="56" t="s">
        <v>45</v>
      </c>
    </row>
    <row r="2" spans="1:17" ht="23.25" x14ac:dyDescent="0.35">
      <c r="A2" s="56" t="s">
        <v>110</v>
      </c>
    </row>
    <row r="4" spans="1:17" x14ac:dyDescent="0.25">
      <c r="B4" s="7" t="s">
        <v>71</v>
      </c>
      <c r="O4" s="7" t="s">
        <v>72</v>
      </c>
    </row>
    <row r="5" spans="1:17" x14ac:dyDescent="0.25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25">
      <c r="A8" s="23" t="s">
        <v>77</v>
      </c>
    </row>
    <row r="9" spans="1:17" x14ac:dyDescent="0.25">
      <c r="C9" s="7" t="s">
        <v>73</v>
      </c>
      <c r="D9" s="7" t="s">
        <v>3</v>
      </c>
      <c r="E9" s="7" t="s">
        <v>135</v>
      </c>
      <c r="F9" s="7" t="s">
        <v>136</v>
      </c>
      <c r="G9" s="7" t="s">
        <v>74</v>
      </c>
      <c r="H9" s="7" t="s">
        <v>137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25">
      <c r="A10" t="s">
        <v>78</v>
      </c>
      <c r="B10" s="38">
        <v>79.28</v>
      </c>
      <c r="C10" s="38">
        <f>22.5</f>
        <v>22.5</v>
      </c>
      <c r="D10" s="38">
        <v>37.5</v>
      </c>
      <c r="F10" s="39"/>
      <c r="G10" s="38"/>
      <c r="H10" s="38"/>
      <c r="I10" s="38"/>
      <c r="J10" s="38"/>
      <c r="K10" s="38"/>
      <c r="L10" s="38"/>
      <c r="M10" s="38"/>
      <c r="N10" s="38"/>
      <c r="O10" s="38">
        <f>SUM(B10:N10)</f>
        <v>139.28</v>
      </c>
      <c r="Q10" s="77"/>
    </row>
    <row r="11" spans="1:17" ht="14.25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25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2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t="s">
        <v>82</v>
      </c>
      <c r="B18" s="38">
        <v>420.78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t="s">
        <v>91</v>
      </c>
      <c r="B22" s="38">
        <f>784.13+500</f>
        <v>1284.1300000000001</v>
      </c>
      <c r="C22" s="38">
        <v>-225</v>
      </c>
      <c r="D22" s="38">
        <f>-400+-53.44</f>
        <v>-453.44</v>
      </c>
      <c r="E22" s="38">
        <f>-219.55-58.04</f>
        <v>-277.59000000000003</v>
      </c>
      <c r="F22" s="38"/>
      <c r="G22" s="38"/>
      <c r="H22" s="38"/>
      <c r="I22" s="38"/>
      <c r="J22" s="38"/>
      <c r="K22" s="38"/>
      <c r="L22" s="38"/>
      <c r="M22" s="38"/>
      <c r="N22" s="38"/>
      <c r="O22" s="38">
        <f>SUM(B22:N22)</f>
        <v>328.1</v>
      </c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5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23" t="s">
        <v>85</v>
      </c>
      <c r="B26" s="57">
        <f>SUM(B10:B25)</f>
        <v>21181.279999999999</v>
      </c>
      <c r="C26" s="57">
        <f t="shared" ref="C26:O26" si="0">SUM(C10:C25)</f>
        <v>-202.5</v>
      </c>
      <c r="D26" s="57">
        <f t="shared" si="0"/>
        <v>-415.94</v>
      </c>
      <c r="E26" s="57">
        <f>SUM(E11:E25)</f>
        <v>-277.59000000000003</v>
      </c>
      <c r="F26" s="57">
        <f t="shared" si="0"/>
        <v>0</v>
      </c>
      <c r="G26" s="57">
        <f t="shared" si="0"/>
        <v>0</v>
      </c>
      <c r="H26" s="57">
        <f t="shared" si="0"/>
        <v>0</v>
      </c>
      <c r="I26" s="57">
        <f t="shared" si="0"/>
        <v>0</v>
      </c>
      <c r="J26" s="57">
        <f t="shared" si="0"/>
        <v>0</v>
      </c>
      <c r="K26" s="57">
        <f t="shared" si="0"/>
        <v>0</v>
      </c>
      <c r="L26" s="57">
        <f t="shared" si="0"/>
        <v>0</v>
      </c>
      <c r="M26" s="57">
        <f t="shared" si="0"/>
        <v>0</v>
      </c>
      <c r="N26" s="57">
        <f t="shared" si="0"/>
        <v>0</v>
      </c>
      <c r="O26" s="57">
        <f t="shared" si="0"/>
        <v>20285.25</v>
      </c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23" t="s">
        <v>86</v>
      </c>
      <c r="B28" s="38">
        <f>21241.93-500</f>
        <v>20741.93</v>
      </c>
      <c r="C28" s="38"/>
      <c r="D28" s="39">
        <f>20741.93+420.78+2218.17</f>
        <v>23380.879999999997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44122.81</v>
      </c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23" t="s">
        <v>87</v>
      </c>
      <c r="B30" s="58">
        <f>SUM(B26:B29)</f>
        <v>41923.21</v>
      </c>
      <c r="C30" s="58">
        <f t="shared" ref="C30:O30" si="1">SUM(C26:C29)</f>
        <v>-202.5</v>
      </c>
      <c r="D30" s="58">
        <f t="shared" si="1"/>
        <v>22964.94</v>
      </c>
      <c r="E30" s="58">
        <f t="shared" si="1"/>
        <v>-277.59000000000003</v>
      </c>
      <c r="F30" s="58">
        <f t="shared" si="1"/>
        <v>0</v>
      </c>
      <c r="G30" s="58">
        <f t="shared" si="1"/>
        <v>0</v>
      </c>
      <c r="H30" s="58">
        <f t="shared" si="1"/>
        <v>0</v>
      </c>
      <c r="I30" s="58">
        <f t="shared" si="1"/>
        <v>0</v>
      </c>
      <c r="J30" s="58">
        <f t="shared" si="1"/>
        <v>0</v>
      </c>
      <c r="K30" s="58">
        <f t="shared" si="1"/>
        <v>0</v>
      </c>
      <c r="L30" s="58">
        <f t="shared" si="1"/>
        <v>0</v>
      </c>
      <c r="M30" s="58">
        <f t="shared" si="1"/>
        <v>0</v>
      </c>
      <c r="N30" s="58">
        <f t="shared" si="1"/>
        <v>0</v>
      </c>
      <c r="O30" s="58">
        <f t="shared" si="1"/>
        <v>64408.06</v>
      </c>
    </row>
    <row r="31" spans="1:15" ht="15.75" thickTop="1" x14ac:dyDescent="0.25">
      <c r="N31" s="38"/>
    </row>
    <row r="32" spans="1:15" x14ac:dyDescent="0.25">
      <c r="B32" s="7" t="s">
        <v>88</v>
      </c>
      <c r="N32" s="30"/>
      <c r="O32" s="19"/>
    </row>
    <row r="33" spans="2:15" x14ac:dyDescent="0.25">
      <c r="B33" s="7" t="s">
        <v>89</v>
      </c>
    </row>
    <row r="34" spans="2:15" x14ac:dyDescent="0.25">
      <c r="H34" s="30"/>
      <c r="N34" s="30"/>
      <c r="O34" s="18"/>
    </row>
    <row r="35" spans="2:15" x14ac:dyDescent="0.25">
      <c r="H35" s="78"/>
      <c r="O35" s="18"/>
    </row>
    <row r="36" spans="2:15" x14ac:dyDescent="0.25">
      <c r="H36" s="78"/>
      <c r="O36" s="34"/>
    </row>
    <row r="37" spans="2:15" x14ac:dyDescent="0.25">
      <c r="H37" s="84"/>
      <c r="O37" s="34"/>
    </row>
    <row r="38" spans="2:15" x14ac:dyDescent="0.25">
      <c r="H38" s="84"/>
      <c r="O38" s="34"/>
    </row>
    <row r="39" spans="2:15" x14ac:dyDescent="0.25">
      <c r="H39" s="84"/>
      <c r="O39" s="34"/>
    </row>
    <row r="40" spans="2:15" x14ac:dyDescent="0.25">
      <c r="H40" s="33"/>
    </row>
    <row r="41" spans="2:15" x14ac:dyDescent="0.25">
      <c r="H41" s="33"/>
    </row>
    <row r="42" spans="2:15" x14ac:dyDescent="0.25">
      <c r="H42" s="33"/>
    </row>
    <row r="43" spans="2:15" x14ac:dyDescent="0.25">
      <c r="H43" s="33"/>
    </row>
    <row r="44" spans="2:15" x14ac:dyDescent="0.25">
      <c r="H44" s="33">
        <f>SUM(H38:H43)</f>
        <v>0</v>
      </c>
      <c r="J44" s="77"/>
      <c r="L44" s="77"/>
    </row>
  </sheetData>
  <pageMargins left="0.7" right="0.7" top="0.75" bottom="0.75" header="0.3" footer="0.3"/>
  <pageSetup scale="76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C8CE-04F4-463B-AAB6-53D519F8D8F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>
      <selection activeCell="F6" sqref="F6:F36"/>
    </sheetView>
  </sheetViews>
  <sheetFormatPr defaultRowHeight="15" x14ac:dyDescent="0.25"/>
  <cols>
    <col min="1" max="1" width="6" customWidth="1"/>
    <col min="6" max="7" width="9.5703125" bestFit="1" customWidth="1"/>
  </cols>
  <sheetData>
    <row r="1" spans="1:7" ht="18.75" x14ac:dyDescent="0.3">
      <c r="A1" s="83"/>
    </row>
    <row r="2" spans="1:7" x14ac:dyDescent="0.25">
      <c r="F2" s="7"/>
      <c r="G2" s="7"/>
    </row>
    <row r="3" spans="1:7" x14ac:dyDescent="0.25">
      <c r="B3" s="23"/>
    </row>
    <row r="4" spans="1:7" x14ac:dyDescent="0.25">
      <c r="F4" s="19"/>
    </row>
    <row r="5" spans="1:7" x14ac:dyDescent="0.25">
      <c r="F5" s="19"/>
    </row>
    <row r="6" spans="1:7" x14ac:dyDescent="0.25">
      <c r="F6" s="33"/>
    </row>
    <row r="7" spans="1:7" x14ac:dyDescent="0.25">
      <c r="G7" s="34"/>
    </row>
    <row r="9" spans="1:7" x14ac:dyDescent="0.25">
      <c r="B9" s="23"/>
    </row>
    <row r="10" spans="1:7" x14ac:dyDescent="0.25">
      <c r="F10" s="33"/>
      <c r="G10" s="19"/>
    </row>
    <row r="11" spans="1:7" x14ac:dyDescent="0.25">
      <c r="F11" s="33"/>
      <c r="G11" s="19"/>
    </row>
    <row r="12" spans="1:7" x14ac:dyDescent="0.25">
      <c r="F12" s="33"/>
      <c r="G12" s="19"/>
    </row>
    <row r="13" spans="1:7" x14ac:dyDescent="0.25">
      <c r="F13" s="33"/>
      <c r="G13" s="19"/>
    </row>
    <row r="14" spans="1:7" x14ac:dyDescent="0.25">
      <c r="F14" s="33"/>
      <c r="G14" s="19"/>
    </row>
    <row r="15" spans="1:7" x14ac:dyDescent="0.25">
      <c r="F15" s="33"/>
      <c r="G15" s="19"/>
    </row>
    <row r="16" spans="1:7" x14ac:dyDescent="0.25">
      <c r="F16" s="33"/>
      <c r="G16" s="19"/>
    </row>
    <row r="17" spans="2:7" x14ac:dyDescent="0.25">
      <c r="F17" s="33"/>
      <c r="G17" s="19"/>
    </row>
    <row r="18" spans="2:7" x14ac:dyDescent="0.25">
      <c r="F18" s="33"/>
      <c r="G18" s="19"/>
    </row>
    <row r="19" spans="2:7" x14ac:dyDescent="0.25">
      <c r="F19" s="33"/>
      <c r="G19" s="19"/>
    </row>
    <row r="20" spans="2:7" x14ac:dyDescent="0.25">
      <c r="F20" s="33"/>
      <c r="G20" s="19"/>
    </row>
    <row r="21" spans="2:7" x14ac:dyDescent="0.25">
      <c r="F21" s="33"/>
      <c r="G21" s="19"/>
    </row>
    <row r="22" spans="2:7" x14ac:dyDescent="0.25">
      <c r="F22" s="33"/>
      <c r="G22" s="19"/>
    </row>
    <row r="23" spans="2:7" x14ac:dyDescent="0.25">
      <c r="F23" s="33"/>
      <c r="G23" s="19"/>
    </row>
    <row r="24" spans="2:7" x14ac:dyDescent="0.25">
      <c r="F24" s="34"/>
      <c r="G24" s="19"/>
    </row>
    <row r="26" spans="2:7" x14ac:dyDescent="0.25">
      <c r="B26" s="23"/>
    </row>
    <row r="27" spans="2:7" x14ac:dyDescent="0.25">
      <c r="F27" s="33"/>
    </row>
    <row r="28" spans="2:7" x14ac:dyDescent="0.25">
      <c r="F28" s="33"/>
    </row>
    <row r="29" spans="2:7" x14ac:dyDescent="0.25">
      <c r="F29" s="33"/>
    </row>
    <row r="30" spans="2:7" x14ac:dyDescent="0.25">
      <c r="F30" s="33"/>
    </row>
    <row r="31" spans="2:7" x14ac:dyDescent="0.25">
      <c r="F31" s="33"/>
    </row>
    <row r="32" spans="2:7" x14ac:dyDescent="0.25">
      <c r="F32" s="33"/>
    </row>
    <row r="33" spans="6:7" x14ac:dyDescent="0.25">
      <c r="F33" s="33"/>
    </row>
    <row r="34" spans="6:7" x14ac:dyDescent="0.25">
      <c r="F34" s="33"/>
    </row>
    <row r="35" spans="6:7" x14ac:dyDescent="0.25">
      <c r="F35" s="34"/>
      <c r="G35" s="34"/>
    </row>
    <row r="37" spans="6:7" x14ac:dyDescent="0.25">
      <c r="G37" s="34"/>
    </row>
    <row r="39" spans="6:7" x14ac:dyDescent="0.25">
      <c r="G39" s="44"/>
    </row>
    <row r="41" spans="6:7" x14ac:dyDescent="0.25">
      <c r="G41" s="19"/>
    </row>
    <row r="43" spans="6:7" ht="15.75" thickBot="1" x14ac:dyDescent="0.3">
      <c r="G43" s="82"/>
    </row>
    <row r="44" spans="6: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94"/>
  <sheetViews>
    <sheetView topLeftCell="A6" workbookViewId="0">
      <selection activeCell="C31" sqref="C31"/>
    </sheetView>
  </sheetViews>
  <sheetFormatPr defaultRowHeight="15" x14ac:dyDescent="0.25"/>
  <cols>
    <col min="1" max="1" width="30" customWidth="1"/>
    <col min="3" max="3" width="9.5703125" style="48" bestFit="1" customWidth="1"/>
    <col min="4" max="4" width="9.5703125" bestFit="1" customWidth="1"/>
    <col min="8" max="8" width="9.5703125" bestFit="1" customWidth="1"/>
    <col min="13" max="13" width="9.5703125" bestFit="1" customWidth="1"/>
  </cols>
  <sheetData>
    <row r="1" spans="1:13" ht="18.75" x14ac:dyDescent="0.3">
      <c r="A1" s="46" t="s">
        <v>112</v>
      </c>
    </row>
    <row r="3" spans="1:13" x14ac:dyDescent="0.25">
      <c r="A3" s="23" t="s">
        <v>113</v>
      </c>
      <c r="H3" t="s">
        <v>63</v>
      </c>
    </row>
    <row r="4" spans="1:13" x14ac:dyDescent="0.25">
      <c r="A4" t="s">
        <v>131</v>
      </c>
      <c r="C4" s="88">
        <v>421.55</v>
      </c>
    </row>
    <row r="5" spans="1:13" x14ac:dyDescent="0.25">
      <c r="A5" t="s">
        <v>132</v>
      </c>
      <c r="C5" s="88">
        <v>7</v>
      </c>
      <c r="E5" s="2"/>
      <c r="M5" s="7"/>
    </row>
    <row r="6" spans="1:13" x14ac:dyDescent="0.25">
      <c r="A6" t="s">
        <v>132</v>
      </c>
      <c r="C6" s="88">
        <v>7.2</v>
      </c>
      <c r="E6" s="60"/>
    </row>
    <row r="7" spans="1:13" x14ac:dyDescent="0.25">
      <c r="A7" t="s">
        <v>133</v>
      </c>
      <c r="C7" s="88">
        <v>49.48</v>
      </c>
      <c r="K7" s="59"/>
      <c r="M7" s="19"/>
    </row>
    <row r="8" spans="1:13" x14ac:dyDescent="0.25">
      <c r="A8" t="s">
        <v>134</v>
      </c>
      <c r="C8" s="88">
        <v>2</v>
      </c>
      <c r="M8" s="19"/>
    </row>
    <row r="9" spans="1:13" x14ac:dyDescent="0.25">
      <c r="C9" s="89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25">
      <c r="A10" s="23" t="s">
        <v>114</v>
      </c>
      <c r="M10" s="33"/>
    </row>
    <row r="11" spans="1:13" x14ac:dyDescent="0.25">
      <c r="A11" t="s">
        <v>139</v>
      </c>
      <c r="C11" s="90">
        <v>1.25</v>
      </c>
      <c r="M11" s="19"/>
    </row>
    <row r="12" spans="1:13" x14ac:dyDescent="0.25">
      <c r="A12" t="s">
        <v>139</v>
      </c>
      <c r="C12" s="90">
        <v>6.05</v>
      </c>
      <c r="M12" s="19"/>
    </row>
    <row r="13" spans="1:13" x14ac:dyDescent="0.25">
      <c r="A13" t="s">
        <v>140</v>
      </c>
      <c r="C13" s="90">
        <v>3.13</v>
      </c>
    </row>
    <row r="14" spans="1:13" x14ac:dyDescent="0.25">
      <c r="A14" t="s">
        <v>141</v>
      </c>
      <c r="C14" s="90">
        <v>10.69</v>
      </c>
    </row>
    <row r="15" spans="1:13" x14ac:dyDescent="0.25">
      <c r="A15" t="s">
        <v>134</v>
      </c>
      <c r="C15" s="90">
        <v>2</v>
      </c>
    </row>
    <row r="16" spans="1:13" x14ac:dyDescent="0.25">
      <c r="C16" s="89"/>
      <c r="D16" s="34">
        <f>SUM(C11:C15)</f>
        <v>23.119999999999997</v>
      </c>
      <c r="E16" t="s">
        <v>64</v>
      </c>
      <c r="H16" s="34">
        <f>'Monthly monitoring &amp; reconcilia'!D54-D16</f>
        <v>0</v>
      </c>
      <c r="I16" s="34"/>
      <c r="M16" s="19"/>
    </row>
    <row r="17" spans="1:9" x14ac:dyDescent="0.25">
      <c r="A17" s="23" t="s">
        <v>115</v>
      </c>
    </row>
    <row r="18" spans="1:9" x14ac:dyDescent="0.25">
      <c r="A18" t="s">
        <v>142</v>
      </c>
      <c r="C18" s="90">
        <v>6.8</v>
      </c>
    </row>
    <row r="19" spans="1:9" x14ac:dyDescent="0.25">
      <c r="A19" t="s">
        <v>143</v>
      </c>
      <c r="C19" s="48">
        <v>43.93</v>
      </c>
    </row>
    <row r="20" spans="1:9" x14ac:dyDescent="0.25">
      <c r="A20" t="s">
        <v>144</v>
      </c>
      <c r="C20" s="48">
        <v>56.4</v>
      </c>
    </row>
    <row r="21" spans="1:9" x14ac:dyDescent="0.25">
      <c r="A21" t="s">
        <v>134</v>
      </c>
      <c r="C21" s="48">
        <v>2</v>
      </c>
    </row>
    <row r="22" spans="1:9" x14ac:dyDescent="0.25">
      <c r="C22" s="89"/>
      <c r="D22" s="34">
        <f>SUM(C18:C21)</f>
        <v>109.13</v>
      </c>
      <c r="E22" t="s">
        <v>64</v>
      </c>
      <c r="H22" s="34">
        <f>'Monthly monitoring &amp; reconcilia'!E54-D22</f>
        <v>0</v>
      </c>
      <c r="I22" s="34"/>
    </row>
    <row r="23" spans="1:9" x14ac:dyDescent="0.25">
      <c r="D23" s="34"/>
      <c r="H23" s="34"/>
      <c r="I23" s="34"/>
    </row>
    <row r="24" spans="1:9" x14ac:dyDescent="0.25">
      <c r="A24" s="23" t="s">
        <v>116</v>
      </c>
    </row>
    <row r="25" spans="1:9" x14ac:dyDescent="0.25">
      <c r="A25" t="s">
        <v>143</v>
      </c>
      <c r="C25" s="90">
        <v>9.67</v>
      </c>
    </row>
    <row r="26" spans="1:9" x14ac:dyDescent="0.25">
      <c r="A26" t="s">
        <v>145</v>
      </c>
      <c r="C26" s="90">
        <v>30</v>
      </c>
    </row>
    <row r="27" spans="1:9" x14ac:dyDescent="0.25">
      <c r="A27" t="s">
        <v>146</v>
      </c>
      <c r="C27" s="90">
        <v>27.66</v>
      </c>
    </row>
    <row r="28" spans="1:9" x14ac:dyDescent="0.25">
      <c r="A28" t="s">
        <v>134</v>
      </c>
      <c r="C28" s="90">
        <v>1.36</v>
      </c>
    </row>
    <row r="29" spans="1:9" x14ac:dyDescent="0.25">
      <c r="C29" s="89"/>
      <c r="D29" s="19">
        <f>SUM(C25:C28)</f>
        <v>68.69</v>
      </c>
      <c r="E29" t="s">
        <v>64</v>
      </c>
      <c r="H29" s="34">
        <f>'Monthly monitoring &amp; reconcilia'!F54-D29</f>
        <v>0</v>
      </c>
      <c r="I29" s="34"/>
    </row>
    <row r="30" spans="1:9" x14ac:dyDescent="0.25">
      <c r="D30" s="19"/>
      <c r="H30" s="34"/>
      <c r="I30" s="34"/>
    </row>
    <row r="31" spans="1:9" x14ac:dyDescent="0.25">
      <c r="A31" s="23" t="s">
        <v>117</v>
      </c>
    </row>
    <row r="32" spans="1:9" x14ac:dyDescent="0.25">
      <c r="C32" s="90"/>
    </row>
    <row r="33" spans="1:9" x14ac:dyDescent="0.25">
      <c r="C33" s="90"/>
    </row>
    <row r="34" spans="1:9" x14ac:dyDescent="0.25">
      <c r="C34" s="90"/>
    </row>
    <row r="35" spans="1:9" x14ac:dyDescent="0.25">
      <c r="C35" s="90"/>
    </row>
    <row r="36" spans="1:9" x14ac:dyDescent="0.25">
      <c r="C36" s="90"/>
    </row>
    <row r="37" spans="1:9" x14ac:dyDescent="0.25">
      <c r="C37" s="90"/>
    </row>
    <row r="38" spans="1:9" x14ac:dyDescent="0.25">
      <c r="C38" s="89"/>
      <c r="D38" s="19">
        <f>SUM(C32:C37)</f>
        <v>0</v>
      </c>
      <c r="E38" t="s">
        <v>64</v>
      </c>
      <c r="H38" s="34">
        <f>'Monthly monitoring &amp; reconcilia'!G54-D38</f>
        <v>0</v>
      </c>
      <c r="I38" s="34"/>
    </row>
    <row r="40" spans="1:9" x14ac:dyDescent="0.25">
      <c r="A40" s="23" t="s">
        <v>118</v>
      </c>
    </row>
    <row r="41" spans="1:9" x14ac:dyDescent="0.25">
      <c r="C41" s="90"/>
    </row>
    <row r="42" spans="1:9" x14ac:dyDescent="0.25">
      <c r="C42" s="90"/>
    </row>
    <row r="43" spans="1:9" x14ac:dyDescent="0.25">
      <c r="C43" s="90"/>
    </row>
    <row r="44" spans="1:9" x14ac:dyDescent="0.25">
      <c r="C44" s="90"/>
    </row>
    <row r="45" spans="1:9" x14ac:dyDescent="0.25">
      <c r="C45" s="91"/>
    </row>
    <row r="46" spans="1:9" x14ac:dyDescent="0.25">
      <c r="D46" s="34">
        <f>SUM(C41:C45)</f>
        <v>0</v>
      </c>
      <c r="E46" t="s">
        <v>64</v>
      </c>
      <c r="H46" s="34">
        <f>'Monthly monitoring &amp; reconcilia'!H54-D46</f>
        <v>0</v>
      </c>
      <c r="I46" s="34"/>
    </row>
    <row r="48" spans="1:9" x14ac:dyDescent="0.25">
      <c r="A48" s="23" t="s">
        <v>119</v>
      </c>
    </row>
    <row r="49" spans="1:9" x14ac:dyDescent="0.25">
      <c r="B49" s="19"/>
      <c r="C49" s="90"/>
    </row>
    <row r="50" spans="1:9" x14ac:dyDescent="0.25">
      <c r="C50" s="90"/>
    </row>
    <row r="51" spans="1:9" x14ac:dyDescent="0.25">
      <c r="C51" s="90"/>
    </row>
    <row r="52" spans="1:9" x14ac:dyDescent="0.25">
      <c r="C52" s="90"/>
    </row>
    <row r="53" spans="1:9" x14ac:dyDescent="0.25">
      <c r="A53" s="59"/>
      <c r="C53" s="90"/>
    </row>
    <row r="54" spans="1:9" x14ac:dyDescent="0.25">
      <c r="C54" s="90"/>
    </row>
    <row r="55" spans="1:9" x14ac:dyDescent="0.25">
      <c r="C55" s="89"/>
      <c r="D55" s="48">
        <f>SUM(C49:C54)</f>
        <v>0</v>
      </c>
      <c r="E55" t="s">
        <v>64</v>
      </c>
      <c r="H55" s="34">
        <f>'Monthly monitoring &amp; reconcilia'!I54-D55</f>
        <v>0</v>
      </c>
      <c r="I55" s="34"/>
    </row>
    <row r="57" spans="1:9" x14ac:dyDescent="0.25">
      <c r="A57" s="23" t="s">
        <v>120</v>
      </c>
    </row>
    <row r="58" spans="1:9" x14ac:dyDescent="0.25">
      <c r="A58" s="49"/>
      <c r="C58" s="87"/>
    </row>
    <row r="59" spans="1:9" x14ac:dyDescent="0.25">
      <c r="C59" s="87"/>
    </row>
    <row r="60" spans="1:9" x14ac:dyDescent="0.25">
      <c r="A60" s="23"/>
      <c r="C60" s="87"/>
    </row>
    <row r="61" spans="1:9" x14ac:dyDescent="0.25">
      <c r="D61" s="34">
        <f>SUM(C58:C60)</f>
        <v>0</v>
      </c>
      <c r="E61" t="s">
        <v>64</v>
      </c>
      <c r="H61" s="34">
        <f>'Monthly monitoring &amp; reconcilia'!J54-D61</f>
        <v>0</v>
      </c>
      <c r="I61" s="34"/>
    </row>
    <row r="63" spans="1:9" x14ac:dyDescent="0.25">
      <c r="A63" s="23" t="s">
        <v>121</v>
      </c>
    </row>
    <row r="64" spans="1:9" x14ac:dyDescent="0.25">
      <c r="A64" s="49"/>
    </row>
    <row r="65" spans="1:11" x14ac:dyDescent="0.25">
      <c r="A65" s="49"/>
    </row>
    <row r="66" spans="1:11" x14ac:dyDescent="0.25">
      <c r="C66" s="90"/>
    </row>
    <row r="67" spans="1:11" x14ac:dyDescent="0.25">
      <c r="A67" s="23"/>
      <c r="C67" s="91"/>
    </row>
    <row r="68" spans="1:11" x14ac:dyDescent="0.25">
      <c r="D68" s="34">
        <f>SUM(C64:C67)</f>
        <v>0</v>
      </c>
      <c r="E68" t="s">
        <v>64</v>
      </c>
      <c r="H68" s="34">
        <f>'Monthly monitoring &amp; reconcilia'!K54-D68</f>
        <v>0</v>
      </c>
      <c r="I68" s="34"/>
      <c r="K68" s="34">
        <f>SUM(I9:I68)</f>
        <v>0</v>
      </c>
    </row>
    <row r="69" spans="1:11" x14ac:dyDescent="0.25">
      <c r="D69" s="34"/>
    </row>
    <row r="70" spans="1:11" x14ac:dyDescent="0.25">
      <c r="A70" s="23" t="s">
        <v>122</v>
      </c>
      <c r="D70" s="34"/>
    </row>
    <row r="71" spans="1:11" x14ac:dyDescent="0.25">
      <c r="A71" s="23"/>
      <c r="C71" s="90"/>
      <c r="D71" s="34"/>
    </row>
    <row r="72" spans="1:11" x14ac:dyDescent="0.25">
      <c r="A72" s="23"/>
      <c r="C72" s="90"/>
      <c r="D72" s="34"/>
    </row>
    <row r="73" spans="1:11" x14ac:dyDescent="0.25">
      <c r="C73" s="91"/>
      <c r="D73" s="34"/>
    </row>
    <row r="74" spans="1:11" x14ac:dyDescent="0.25">
      <c r="D74" s="34">
        <f>SUM(C71:C73)</f>
        <v>0</v>
      </c>
      <c r="E74" t="s">
        <v>64</v>
      </c>
      <c r="H74" s="34">
        <f>'Monthly monitoring &amp; reconcilia'!L54-D74</f>
        <v>0</v>
      </c>
      <c r="I74" s="19"/>
      <c r="K74" s="34">
        <f>SUM(I9:I74)</f>
        <v>0</v>
      </c>
    </row>
    <row r="76" spans="1:11" x14ac:dyDescent="0.25">
      <c r="A76" s="23" t="s">
        <v>123</v>
      </c>
      <c r="D76" s="34"/>
      <c r="I76" s="50"/>
    </row>
    <row r="77" spans="1:11" x14ac:dyDescent="0.25">
      <c r="A77" s="51"/>
      <c r="B77" s="49"/>
      <c r="C77" s="92"/>
      <c r="D77" s="34"/>
    </row>
    <row r="78" spans="1:11" x14ac:dyDescent="0.25">
      <c r="A78" s="51"/>
      <c r="B78" s="49"/>
      <c r="C78" s="93"/>
      <c r="D78" s="34"/>
    </row>
    <row r="79" spans="1:11" x14ac:dyDescent="0.25">
      <c r="A79" s="51"/>
      <c r="B79" s="51"/>
      <c r="C79" s="93"/>
      <c r="D79" s="34"/>
    </row>
    <row r="80" spans="1:11" x14ac:dyDescent="0.25">
      <c r="A80" s="49"/>
      <c r="B80" s="49"/>
      <c r="C80" s="92"/>
      <c r="D80" s="34"/>
    </row>
    <row r="81" spans="1:11" x14ac:dyDescent="0.25">
      <c r="C81" s="90"/>
      <c r="D81" s="34"/>
    </row>
    <row r="82" spans="1:11" x14ac:dyDescent="0.25">
      <c r="A82" s="51"/>
      <c r="C82" s="94"/>
      <c r="D82" s="34"/>
    </row>
    <row r="83" spans="1:11" x14ac:dyDescent="0.25">
      <c r="A83" s="23"/>
      <c r="C83" s="89"/>
      <c r="D83" s="34">
        <f>SUM(C77:C82)</f>
        <v>0</v>
      </c>
      <c r="E83" t="s">
        <v>64</v>
      </c>
      <c r="H83" s="34">
        <f>'Monthly monitoring &amp; reconcilia'!M54-D83</f>
        <v>0</v>
      </c>
      <c r="I83" s="34"/>
    </row>
    <row r="84" spans="1:11" x14ac:dyDescent="0.25">
      <c r="A84" s="23"/>
      <c r="D84" s="34"/>
    </row>
    <row r="85" spans="1:11" x14ac:dyDescent="0.25">
      <c r="A85" s="23" t="s">
        <v>124</v>
      </c>
      <c r="D85" s="34"/>
      <c r="K85" s="33"/>
    </row>
    <row r="86" spans="1:11" x14ac:dyDescent="0.25">
      <c r="A86" s="49"/>
      <c r="C86" s="90"/>
      <c r="D86" s="34"/>
    </row>
    <row r="87" spans="1:11" x14ac:dyDescent="0.25">
      <c r="A87" s="49"/>
      <c r="C87" s="90"/>
      <c r="D87" s="34"/>
    </row>
    <row r="88" spans="1:11" x14ac:dyDescent="0.25">
      <c r="A88" s="51"/>
      <c r="C88" s="90"/>
      <c r="D88" s="34"/>
    </row>
    <row r="89" spans="1:11" x14ac:dyDescent="0.25">
      <c r="A89" s="49"/>
      <c r="C89" s="95"/>
      <c r="D89" s="34"/>
    </row>
    <row r="90" spans="1:11" x14ac:dyDescent="0.25">
      <c r="A90" s="49"/>
      <c r="C90" s="91"/>
      <c r="D90" s="34"/>
    </row>
    <row r="91" spans="1:11" x14ac:dyDescent="0.25">
      <c r="C91" s="90"/>
      <c r="D91" s="34">
        <f>SUM(C86:C90)</f>
        <v>0</v>
      </c>
      <c r="E91" t="s">
        <v>64</v>
      </c>
      <c r="H91" s="34">
        <f>'Monthly monitoring &amp; reconcilia'!N54-D91</f>
        <v>0</v>
      </c>
      <c r="I91" s="34"/>
    </row>
    <row r="92" spans="1:11" x14ac:dyDescent="0.25">
      <c r="C92" s="90"/>
      <c r="D92" s="34"/>
    </row>
    <row r="94" spans="1:11" x14ac:dyDescent="0.25">
      <c r="D94" s="52">
        <f>SUM(D9:D93)</f>
        <v>688.17000000000007</v>
      </c>
      <c r="E94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monitoring &amp; reconcilia</vt:lpstr>
      <vt:lpstr>Reserves</vt:lpstr>
      <vt:lpstr>Sheet1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2025-08-22T10:26:44Z</dcterms:modified>
</cp:coreProperties>
</file>